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595" firstSheet="1" activeTab="1"/>
  </bookViews>
  <sheets>
    <sheet name="Arkusz1" sheetId="1" state="hidden" r:id="rId1"/>
    <sheet name="Informacja" sheetId="2" r:id="rId2"/>
    <sheet name="Prognoza REALNA " sheetId="3" r:id="rId3"/>
    <sheet name="Dochody wg §" sheetId="4" r:id="rId4"/>
    <sheet name="Dochody wg działów" sheetId="5" r:id="rId5"/>
    <sheet name="Dochody" sheetId="6" r:id="rId6"/>
    <sheet name="Wydatki" sheetId="7" r:id="rId7"/>
    <sheet name="Wydatki - grupy" sheetId="8" state="hidden" r:id="rId8"/>
    <sheet name="Inwestycje" sheetId="9" r:id="rId9"/>
    <sheet name="Przychody" sheetId="10" r:id="rId10"/>
    <sheet name="Zad rządowe" sheetId="11" r:id="rId11"/>
    <sheet name="Dotacje" sheetId="12" r:id="rId12"/>
    <sheet name="Zak.bud i rach.doch" sheetId="13" r:id="rId13"/>
    <sheet name="GFOŚ I inne zał" sheetId="14" r:id="rId14"/>
    <sheet name="Prognoza długu" sheetId="15" r:id="rId15"/>
    <sheet name="Wydatki na programy" sheetId="16" r:id="rId16"/>
    <sheet name="WPI" sheetId="17" r:id="rId17"/>
    <sheet name="Wpólnoty mieszkaniowe" sheetId="18" state="hidden" r:id="rId18"/>
  </sheets>
  <definedNames>
    <definedName name="_xlnm.Print_Area" localSheetId="5">'Dochody'!$A$1:$D$63</definedName>
    <definedName name="_xlnm.Print_Area" localSheetId="3">'Dochody wg §'!$A$1:$K$144</definedName>
    <definedName name="_xlnm.Print_Area" localSheetId="4">'Dochody wg działów'!$A$1:$C$17</definedName>
    <definedName name="_xlnm.Print_Area" localSheetId="11">'Dotacje'!$A$1:$E$37</definedName>
    <definedName name="_xlnm.Print_Area" localSheetId="8">'Inwestycje'!$A$1:$D$107</definedName>
    <definedName name="_xlnm.Print_Area" localSheetId="14">'Prognoza długu'!$A$1:$L$25</definedName>
    <definedName name="_xlnm.Print_Area" localSheetId="2">'Prognoza REALNA '!$A$1:$L$25</definedName>
    <definedName name="_xlnm.Print_Area" localSheetId="9">'Przychody'!$A$1:$C$22</definedName>
    <definedName name="_xlnm.Print_Area" localSheetId="6">'Wydatki'!$A$1:$C$273</definedName>
  </definedNames>
  <calcPr fullCalcOnLoad="1" fullPrecision="0"/>
</workbook>
</file>

<file path=xl/sharedStrings.xml><?xml version="1.0" encoding="utf-8"?>
<sst xmlns="http://schemas.openxmlformats.org/spreadsheetml/2006/main" count="1524" uniqueCount="678">
  <si>
    <t>Lp.</t>
  </si>
  <si>
    <t>Dział</t>
  </si>
  <si>
    <t>Nazwa</t>
  </si>
  <si>
    <t>Leśnictwo</t>
  </si>
  <si>
    <t>Transport i łączność</t>
  </si>
  <si>
    <t>Turystyka</t>
  </si>
  <si>
    <t>Gospodarka mieszkaniowa</t>
  </si>
  <si>
    <t>Administracja publiczna</t>
  </si>
  <si>
    <t>Różne rozliczenia</t>
  </si>
  <si>
    <t>Oświata i wychowanie</t>
  </si>
  <si>
    <t>Gospodarka komunalna i ochrona środowiska</t>
  </si>
  <si>
    <t>Kultura i ochrona dziedzictwa narodowego</t>
  </si>
  <si>
    <t>Razem</t>
  </si>
  <si>
    <t>Podatek leśny</t>
  </si>
  <si>
    <t>Podatek od spadku i darowizn</t>
  </si>
  <si>
    <t>Podatek od czynności cywilnoprawnych</t>
  </si>
  <si>
    <t>Opłata eksploatacyjna za wyd.kopal.</t>
  </si>
  <si>
    <t xml:space="preserve"> od osób fizycznych</t>
  </si>
  <si>
    <t xml:space="preserve"> od osób prawnych</t>
  </si>
  <si>
    <t>Dotacje na zadania własne</t>
  </si>
  <si>
    <t>Subwencja oświatowa</t>
  </si>
  <si>
    <t>Podatek opłacany w formie karty podatkowej</t>
  </si>
  <si>
    <t>Dz Roz.</t>
  </si>
  <si>
    <t>Rolnictwo i łowiectwo</t>
  </si>
  <si>
    <t>Wydatki bieżące</t>
  </si>
  <si>
    <t>Izby rolnicze</t>
  </si>
  <si>
    <t>Gospodarka leśna</t>
  </si>
  <si>
    <t>Pozostała działalność</t>
  </si>
  <si>
    <t>Handel</t>
  </si>
  <si>
    <t>Drogi publiczne gminne</t>
  </si>
  <si>
    <t>Ośrodki informacji turystycznej</t>
  </si>
  <si>
    <t>Gospodarka gruntami i nieruchomościami</t>
  </si>
  <si>
    <t>Działalność usługowa</t>
  </si>
  <si>
    <t>Cmentarze</t>
  </si>
  <si>
    <t>Urzędy wojewódzkie</t>
  </si>
  <si>
    <t>Rady gmin</t>
  </si>
  <si>
    <t>Urzędy gmin</t>
  </si>
  <si>
    <t>Pobór podatków, opłat i niepodatkowych należ.budż</t>
  </si>
  <si>
    <t>Bezpieczeństwo publiczne i ochrona przeciwpożar.</t>
  </si>
  <si>
    <t>Ochotnicze straże pożarne</t>
  </si>
  <si>
    <t>Obsługa długu publicznego</t>
  </si>
  <si>
    <t>Rezerwy ogólne i celowe</t>
  </si>
  <si>
    <t>Rezerwy ogólne</t>
  </si>
  <si>
    <t>Szkoły podstawowe</t>
  </si>
  <si>
    <t>Gimnazja</t>
  </si>
  <si>
    <t>Dowożenie uczniów do szkół</t>
  </si>
  <si>
    <t>0chrona zdrowia</t>
  </si>
  <si>
    <t>Przeciwdziałanie alkoholizmowi</t>
  </si>
  <si>
    <t>Ośrodki wsparcia</t>
  </si>
  <si>
    <t>Składki na ubezpieczenia zdrowotne</t>
  </si>
  <si>
    <t xml:space="preserve">Wydatki bieżące               </t>
  </si>
  <si>
    <t>Dodatki mieszkaniowe</t>
  </si>
  <si>
    <t>Ośrodki Pomocy Społecznej</t>
  </si>
  <si>
    <t>Usługi opiekuńcze i specjalistyczne usługi opiekuńcze</t>
  </si>
  <si>
    <t>Edukacyjna opieka wychowawcza</t>
  </si>
  <si>
    <t>Świetlice szkolne</t>
  </si>
  <si>
    <t>Gospodarka ściekowa i ochrona wód</t>
  </si>
  <si>
    <t>Wydatki majątkowe</t>
  </si>
  <si>
    <t>Oczyszczanie miast i wsi</t>
  </si>
  <si>
    <t>Utrzymanie zieleni w miastach i gminach</t>
  </si>
  <si>
    <t>Oświetlenie uliczne</t>
  </si>
  <si>
    <t>Domy i ośrodki kultury, świetlice i kluby</t>
  </si>
  <si>
    <t>Biblioteki</t>
  </si>
  <si>
    <t>Kultura fizyczna i sport</t>
  </si>
  <si>
    <t>Wydatki bieżące – obsługa długu jst</t>
  </si>
  <si>
    <t>Wydatki bieżące, w tym</t>
  </si>
  <si>
    <t>Zasiłki i pomoc w naturze oraz składki na ubez.społ.</t>
  </si>
  <si>
    <t>010</t>
  </si>
  <si>
    <t>01030</t>
  </si>
  <si>
    <t>020</t>
  </si>
  <si>
    <t>02001</t>
  </si>
  <si>
    <t>Wydatki bieżące, w tym:</t>
  </si>
  <si>
    <t xml:space="preserve">W tym wynagrodzenia i pochodne </t>
  </si>
  <si>
    <t xml:space="preserve">Pozostałe wydatki </t>
  </si>
  <si>
    <t xml:space="preserve">Wydatki bieżące </t>
  </si>
  <si>
    <t>W tym wynagrodzenia i pochodne</t>
  </si>
  <si>
    <t>Wynagrodzenia i pochodne</t>
  </si>
  <si>
    <t>Pozostałe wydatki</t>
  </si>
  <si>
    <t>W tym: wynagrodzenia i pochodne</t>
  </si>
  <si>
    <t>Pozostała działalność (m.in. MKP)</t>
  </si>
  <si>
    <t xml:space="preserve">Wynagrodzenia i pochodne </t>
  </si>
  <si>
    <t xml:space="preserve">Zadania własne </t>
  </si>
  <si>
    <t xml:space="preserve">Zadania zlecone </t>
  </si>
  <si>
    <t>Zadania zlecone</t>
  </si>
  <si>
    <t>Wytwarzanie i zaopatryw w energię elekt, gaz, wodę</t>
  </si>
  <si>
    <t xml:space="preserve">Wydatki bieżące, w tym </t>
  </si>
  <si>
    <t>Obsługa pap.wart., kredytów i pożyczek jst</t>
  </si>
  <si>
    <t xml:space="preserve">Opłata skarbowa </t>
  </si>
  <si>
    <t>W tym pochodne od wynagrodzeń</t>
  </si>
  <si>
    <t>Dokształcanie i doskonalenie nauczycieli</t>
  </si>
  <si>
    <t>Wydatki pozostałe</t>
  </si>
  <si>
    <t>I. Wydatki</t>
  </si>
  <si>
    <t>Dz.</t>
  </si>
  <si>
    <t xml:space="preserve">Rozdz  </t>
  </si>
  <si>
    <t>Wyszczególnienie</t>
  </si>
  <si>
    <t>Urzędy Wojewódzkie</t>
  </si>
  <si>
    <t>Zasiłki i pomoc w naturze oraz składki na ubez. społ</t>
  </si>
  <si>
    <t>Ośrodki pomocy społecznej</t>
  </si>
  <si>
    <t xml:space="preserve">   </t>
  </si>
  <si>
    <t xml:space="preserve">Razem wydatki  </t>
  </si>
  <si>
    <t>II. Dochody</t>
  </si>
  <si>
    <t>Dotacje celowe otrzym. z budż.pań. na real.zadań zleconych</t>
  </si>
  <si>
    <t>Zasiłki i pomoc w naturze oraz składki na ubezp.społ.</t>
  </si>
  <si>
    <t xml:space="preserve">Razem dochody  </t>
  </si>
  <si>
    <t>Plan 2004</t>
  </si>
  <si>
    <t>Obrona cywilna</t>
  </si>
  <si>
    <t>Pomoc społeczna</t>
  </si>
  <si>
    <t>Dostarczanie wody</t>
  </si>
  <si>
    <t>Bezpieczeństwo publiczne i ochrona przeciwpoż</t>
  </si>
  <si>
    <t>Rozdz.</t>
  </si>
  <si>
    <t>Spłaty otrzymanych krajowych pożyczek i kredytów</t>
  </si>
  <si>
    <t>Pożyczki krajowe  w tym:</t>
  </si>
  <si>
    <t>Kredyty krajowe w tym:</t>
  </si>
  <si>
    <t>Kredyty krajowe w tym</t>
  </si>
  <si>
    <t xml:space="preserve">spłata rat pożyczki WFOŚiGW </t>
  </si>
  <si>
    <t>spłata rat pożyczki NFOŚ</t>
  </si>
  <si>
    <t>Kredyt w banku komercyjnym</t>
  </si>
  <si>
    <t>Rozdz</t>
  </si>
  <si>
    <t>Kwota</t>
  </si>
  <si>
    <t>Wydatki</t>
  </si>
  <si>
    <t>Rozd.</t>
  </si>
  <si>
    <t>Wykaz dotacji z budżetu gminy dla zakładów budżetowych</t>
  </si>
  <si>
    <t>Wykaz dotacji z budżetu gminy dla instytucji kultury</t>
  </si>
  <si>
    <t xml:space="preserve">Przychody </t>
  </si>
  <si>
    <t>Nazwa zakładu</t>
  </si>
  <si>
    <t>1.</t>
  </si>
  <si>
    <t>Gazeta Bieszczadzka</t>
  </si>
  <si>
    <t>2.</t>
  </si>
  <si>
    <t>Przedszkole nr 1</t>
  </si>
  <si>
    <t>3.</t>
  </si>
  <si>
    <t>Przedszkole nr 2</t>
  </si>
  <si>
    <t>4.</t>
  </si>
  <si>
    <t>Przychody</t>
  </si>
  <si>
    <t>5.</t>
  </si>
  <si>
    <t>6.</t>
  </si>
  <si>
    <t>7.</t>
  </si>
  <si>
    <t>8.</t>
  </si>
  <si>
    <t>9.</t>
  </si>
  <si>
    <t>10.</t>
  </si>
  <si>
    <t>11.</t>
  </si>
  <si>
    <t>Wykaz udzielonych dotacji dla podmiotów realizujących zadania własne gminy</t>
  </si>
  <si>
    <t>Ochrona zdrowia</t>
  </si>
  <si>
    <t>Przeciwdziałanie alkoholizmowi- cel</t>
  </si>
  <si>
    <t>Zadania  w zakresie kultury fizycznej i sportu</t>
  </si>
  <si>
    <t>Zadania w zak kultury fizycznej i sportu</t>
  </si>
  <si>
    <t>wydatki bieżące</t>
  </si>
  <si>
    <t xml:space="preserve">wpływy z usług </t>
  </si>
  <si>
    <t>Podmiot: MPGK Sp.zoo w Ustrzykach Dolnych</t>
  </si>
  <si>
    <t>Dostarczanie wody - cel</t>
  </si>
  <si>
    <t>Gospodarka ściekowa i ochrona wód - cel</t>
  </si>
  <si>
    <t>Przebudowa chodników w mieście</t>
  </si>
  <si>
    <t>Droga Ropienka</t>
  </si>
  <si>
    <t>Dotacja - wydatki bieżące</t>
  </si>
  <si>
    <t>Cmentarz Brzegi Dolne</t>
  </si>
  <si>
    <t>Dochody od osób pr., od osób fiz. i od innych jednostek nie posiad.osob.pr oraz wydatki związane z ich poborem</t>
  </si>
  <si>
    <t>Załącznik Nr 1</t>
  </si>
  <si>
    <t>Załącznik Nr 2</t>
  </si>
  <si>
    <t>Załącznik Nr 3</t>
  </si>
  <si>
    <t>Różne jednostki obsługi gospodarki mieszkaniowej</t>
  </si>
  <si>
    <t>Załącznik Nr 4</t>
  </si>
  <si>
    <t>Załącznik Nr 5</t>
  </si>
  <si>
    <t>Rozdz §</t>
  </si>
  <si>
    <t>Załącznik Nr 6</t>
  </si>
  <si>
    <t>Załącznik Nr 7</t>
  </si>
  <si>
    <t>Załącznik Nr 8</t>
  </si>
  <si>
    <t>Załącznik Nr 9</t>
  </si>
  <si>
    <t>Załącznik Nr 10</t>
  </si>
  <si>
    <t>Załącznik Nr 11</t>
  </si>
  <si>
    <t>Załącznik Nr 12</t>
  </si>
  <si>
    <t>Dochody</t>
  </si>
  <si>
    <t>Pozostała działalność - dotacje</t>
  </si>
  <si>
    <t>Subwencja wyrównawcza:</t>
  </si>
  <si>
    <t>Plany zagospodarowania przestrzennego</t>
  </si>
  <si>
    <t>12.</t>
  </si>
  <si>
    <t xml:space="preserve">                                                                                                                Załącznik nr 1 </t>
  </si>
  <si>
    <t>§</t>
  </si>
  <si>
    <t>0970</t>
  </si>
  <si>
    <t>Wpływy z różnych dochodów</t>
  </si>
  <si>
    <t>Wpływy ze sprzedaży wyr. i skład. majątkowych</t>
  </si>
  <si>
    <t>0830</t>
  </si>
  <si>
    <t>Wpływy z usług</t>
  </si>
  <si>
    <t>0470</t>
  </si>
  <si>
    <t>Wpływy z opłat za użytkowanie wieczyste</t>
  </si>
  <si>
    <t>0750</t>
  </si>
  <si>
    <t>0770</t>
  </si>
  <si>
    <t>6290</t>
  </si>
  <si>
    <t>2010</t>
  </si>
  <si>
    <t xml:space="preserve">Urzędy gmin </t>
  </si>
  <si>
    <t>6310</t>
  </si>
  <si>
    <t>Wpływy z podatku dochodowego od os. fizycznych</t>
  </si>
  <si>
    <t>0350</t>
  </si>
  <si>
    <t>0310</t>
  </si>
  <si>
    <t>Podatek od nieruchomości</t>
  </si>
  <si>
    <t>0320</t>
  </si>
  <si>
    <t>Podatek rolny</t>
  </si>
  <si>
    <t>0330</t>
  </si>
  <si>
    <t>0340</t>
  </si>
  <si>
    <t>Podatek od środków transportowych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</si>
  <si>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</si>
  <si>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</si>
  <si>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</si>
  <si>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</si>
  <si>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</si>
  <si>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</si>
  <si>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0500</t>
  </si>
  <si>
    <t>0910</t>
  </si>
  <si>
    <t>Odsetki od nieterminowych wpłat z tyt. pod i opłat</t>
  </si>
  <si>
    <t>0410</t>
  </si>
  <si>
    <t>Wpływy z opłaty skarbowej</t>
  </si>
  <si>
    <t>0460</t>
  </si>
  <si>
    <t>Wpływy z opłaty eksploatacyjnej</t>
  </si>
  <si>
    <t>0480</t>
  </si>
  <si>
    <t>Wpływy z opłat za zezwolenie na sprzedaż alkoh.</t>
  </si>
  <si>
    <t>0010</t>
  </si>
  <si>
    <t>Podatek dochodowy od osób fizycznych</t>
  </si>
  <si>
    <t>0020</t>
  </si>
  <si>
    <t>Podatek dochodowy od osób prawnych</t>
  </si>
  <si>
    <t>Część oświatowa  subwencji  ogól. dla jst.</t>
  </si>
  <si>
    <t>2920</t>
  </si>
  <si>
    <t>Subwencje ogólne z budżetu państwa</t>
  </si>
  <si>
    <t>Część wyrównawcza subwencji ogólnej dla gmin</t>
  </si>
  <si>
    <t>Różne rozliczenia finansowe</t>
  </si>
  <si>
    <t>0920</t>
  </si>
  <si>
    <t>Pozostałe odsetki</t>
  </si>
  <si>
    <t xml:space="preserve">Pozostała działalność </t>
  </si>
  <si>
    <t>Zasiłki i pom. w nat. oraz skł. na ubezp. społeczne</t>
  </si>
  <si>
    <t>Zasiłki rodzinne i pielęgnacyjne i wychowawcze</t>
  </si>
  <si>
    <t>Usługi opiekuńcze i specjalistyczne</t>
  </si>
  <si>
    <t>Gospodarka odpadami</t>
  </si>
  <si>
    <t>0400</t>
  </si>
  <si>
    <t>Wpływy z opłaty produktowej</t>
  </si>
  <si>
    <t>2310</t>
  </si>
  <si>
    <t xml:space="preserve">Świadczenia rodzinne oraz składki na ubezpieczenia </t>
  </si>
  <si>
    <t>2030</t>
  </si>
  <si>
    <t>Plan 2005</t>
  </si>
  <si>
    <t>Świadczenia rodzinne oraz składki na ubezpieczenia</t>
  </si>
  <si>
    <t>Wodociąg w  m-ci Stańkowa - projekt</t>
  </si>
  <si>
    <t>Zakupy inwestycyjne</t>
  </si>
  <si>
    <t>Remont budynku UM</t>
  </si>
  <si>
    <t>Wpływy z opłaty miejscowej</t>
  </si>
  <si>
    <t>0440</t>
  </si>
  <si>
    <t>Plan 2006</t>
  </si>
  <si>
    <t>Subwencja równoważąca</t>
  </si>
  <si>
    <t>0870</t>
  </si>
  <si>
    <t>Chodnik w m-ci Ustjanowa</t>
  </si>
  <si>
    <t>Droga Łobozew</t>
  </si>
  <si>
    <t xml:space="preserve">Przedszkola </t>
  </si>
  <si>
    <t>6292</t>
  </si>
  <si>
    <t>Środki na dofin.własnych inwest.gm.pozyskane z in.źr.</t>
  </si>
  <si>
    <t>Dotacje cel. z bud.pań. na r. zad.bież. z zak.adm.rz.</t>
  </si>
  <si>
    <t xml:space="preserve">Urzędy naczel.org wł pań, kontroli i ochr.prawa </t>
  </si>
  <si>
    <t>Dochody od osób pr.od osób fiz. i in.jedn. oraz wydatki</t>
  </si>
  <si>
    <t>Podatek od działal.gosp.os.fiz.opł. w formie karty pod</t>
  </si>
  <si>
    <t xml:space="preserve">Wpływy z pod.rol.leś.cc.spad. i dar.oraz pod i opł.lok. </t>
  </si>
  <si>
    <t xml:space="preserve">Wpływy z pod. rol.leś.cc.spad. i dar.oraz pod i opł.lok. </t>
  </si>
  <si>
    <t>Wpływy z innych opłat stanow.dochody jst n.p. ustaw</t>
  </si>
  <si>
    <t>Dotacje cel.otrzym z gmin na zad.bież.real. np.porozumień</t>
  </si>
  <si>
    <t>6260</t>
  </si>
  <si>
    <t>Dotacje z funduszy celowych na real.inwest</t>
  </si>
  <si>
    <t>Część równoważąca subwencji ogólnej dla gmin</t>
  </si>
  <si>
    <t>Domy pomocy społecznej</t>
  </si>
  <si>
    <t>Oddziały przedszkolne w szkołach podstawowych</t>
  </si>
  <si>
    <r>
      <t>Udziały gmin w podat. stan. doch. bud. pań</t>
    </r>
    <r>
      <rPr>
        <sz val="10"/>
        <rFont val="Arial Narrow"/>
        <family val="2"/>
      </rPr>
      <t>.</t>
    </r>
  </si>
  <si>
    <r>
      <t xml:space="preserve"> </t>
    </r>
    <r>
      <rPr>
        <u val="single"/>
        <sz val="10"/>
        <rFont val="Arial Narrow"/>
        <family val="2"/>
      </rPr>
      <t>Ośrodki wsparcia</t>
    </r>
  </si>
  <si>
    <t>Urzędy naczel.organów władzy pań., kontroli i ochrony pr. oraz sąd.</t>
  </si>
  <si>
    <t>Udziały w podatku stanowiącym dochód bud.pań  w tym:</t>
  </si>
  <si>
    <t>(umowy z gminami Powiatu Bieszczadzkiego na współ finansowanie Gazety Bieszczadzkiej)</t>
  </si>
  <si>
    <t>Przedszkole Nr 2 - (dotacja podmiotowa)</t>
  </si>
  <si>
    <t>Przedszkole Nr 1 - (dotacja podmiotowa)</t>
  </si>
  <si>
    <t>PGM -  (dotacja przedmiotowa)</t>
  </si>
  <si>
    <t>Gazeta Bieszczadzka -  (dotacja przedmiotowa)</t>
  </si>
  <si>
    <t>Zakłady budżetowe, w tym:</t>
  </si>
  <si>
    <t>Instytucje kultury, w tym:</t>
  </si>
  <si>
    <t>wpływy z usług  (opłata, żywność)</t>
  </si>
  <si>
    <t xml:space="preserve"> wydatki bieżące </t>
  </si>
  <si>
    <t>pozostałe wydatki -</t>
  </si>
  <si>
    <t xml:space="preserve"> wydatki bieżące-</t>
  </si>
  <si>
    <t xml:space="preserve"> w tym wynagrodzenia i pochodne-</t>
  </si>
  <si>
    <t xml:space="preserve">pozostałe wydatki  - </t>
  </si>
  <si>
    <t xml:space="preserve"> wydatki bieżące - </t>
  </si>
  <si>
    <t xml:space="preserve">w tym wynagrodzenia i pochodne - </t>
  </si>
  <si>
    <t xml:space="preserve">pozostałe wydatki – </t>
  </si>
  <si>
    <t>w tym wynagrodzenia i pochodne -</t>
  </si>
  <si>
    <t>pozostałe wydatki  -</t>
  </si>
  <si>
    <t xml:space="preserve">w tym wynagrodzenia osobowe i poch. - </t>
  </si>
  <si>
    <t>Rachunek dochodów własnych przy ZSP 2</t>
  </si>
  <si>
    <t>Rachunek dochodów własnych przy SP Ustjanowa</t>
  </si>
  <si>
    <t>Rachunek dochodów własnych przy SP Krościenko</t>
  </si>
  <si>
    <t>Rachunek dochodów własnych przy SP Wojtkowa</t>
  </si>
  <si>
    <t>Rachunek dochodów własnych przy SP Hoszów</t>
  </si>
  <si>
    <t>Rachunek dochodów własnych przy SP Łodyna</t>
  </si>
  <si>
    <t>Rachunek dochodów własnych przy SP Równia</t>
  </si>
  <si>
    <t>Rachunek dochodów własnych przy SP Łobozew</t>
  </si>
  <si>
    <t>Rachunek dochodów własnych przy ZSP Ropienka</t>
  </si>
  <si>
    <t>Rachunek dochodów własnych przy ZSP 1</t>
  </si>
  <si>
    <t>2700</t>
  </si>
  <si>
    <t>Zadania w zakresie kultury fizycznej i sportu</t>
  </si>
  <si>
    <t xml:space="preserve">Środki na dofinansowanie własnych zadań bieżących </t>
  </si>
  <si>
    <t>Dochody z najmu i dzierżawy składników  majątkowych.</t>
  </si>
  <si>
    <t>Wpływy z tyt. odpłatnego. nabycia prawa własności nieruchomości</t>
  </si>
  <si>
    <t>Urzędy nacz. organ. władzy pań.kontroli i ochrony pr</t>
  </si>
  <si>
    <t>Dotacje cel.otrzym.bud.pań.na inwestycje  z zak. adm.rząd.</t>
  </si>
  <si>
    <t>Wpływy ze sprzedaży wyr. i skł. majątkowych.</t>
  </si>
  <si>
    <t>Rozwiązanie gospodarki odpadami komunalnymi</t>
  </si>
  <si>
    <t>Przedszkole Nr 1 - projekt dachu</t>
  </si>
  <si>
    <t>Redukcja emisji zanieczyszczeń powietrza - termo modernizacja budynków użyteczności publicznej w gminie Ustrzyki D</t>
  </si>
  <si>
    <t>cel - dofinansowanie zadań z zakresu kultury fizycznej i sportu</t>
  </si>
  <si>
    <t>(porozumienie z Miastem Przemyśl na dofinansowanie Miejskiego Ośrodka Zapobiegania Uzależnieniom w Przemyślu - zadanie wynikające z Gminnego Programu Profilaktyki i Przeciwdziałania Alkoholizmowi</t>
  </si>
  <si>
    <t>tj: organizacja zajęć sportowych i imprez sportowych, w zakresie piłki nożnej</t>
  </si>
  <si>
    <t>Plan 2007</t>
  </si>
  <si>
    <t>Podatki i opłaty, w tym</t>
  </si>
  <si>
    <t>Podatek od śr.transportowych</t>
  </si>
  <si>
    <t xml:space="preserve">Podatek od posiadania psów </t>
  </si>
  <si>
    <t xml:space="preserve">Opłata targowa </t>
  </si>
  <si>
    <t>Opłata miejscowa</t>
  </si>
  <si>
    <t>Dotacje, w tym:</t>
  </si>
  <si>
    <t>Dotacje na zadania real. na podstawie porozumień między jst</t>
  </si>
  <si>
    <t>Subwencje, w tym:</t>
  </si>
  <si>
    <t>Pozostałe dochody, w tym:</t>
  </si>
  <si>
    <t>Wpływy z opłat za rejestrację podmiotów gospodarczych</t>
  </si>
  <si>
    <t>Wpływy z opłat za zezwolenie za sprzedaż alkoholu</t>
  </si>
  <si>
    <t>Wpływy z tytułu opłaty produktowej</t>
  </si>
  <si>
    <t>Wpływy z tytułu dochodów różnych (rozliczenia z lat ubiegłych)</t>
  </si>
  <si>
    <t>Odsetki od nieterminowo przek. należności stanow. dochody gminy</t>
  </si>
  <si>
    <t>2360</t>
  </si>
  <si>
    <t>Pomoc materialna dla uczniów</t>
  </si>
  <si>
    <t xml:space="preserve">§ </t>
  </si>
  <si>
    <t>spłata kredytu BGK EBI</t>
  </si>
  <si>
    <t>spłata kredytu BBS</t>
  </si>
  <si>
    <t>Drogi publiczne wojewódzkie</t>
  </si>
  <si>
    <t>Droga Nowosielce</t>
  </si>
  <si>
    <t>Droga Brelików</t>
  </si>
  <si>
    <t>Oświetlenie Stańkowa</t>
  </si>
  <si>
    <t>Oświetlenie Jureczkowa</t>
  </si>
  <si>
    <t>Oświetlenie Równia</t>
  </si>
  <si>
    <t>Oświetlenie Brelików Leszczowate</t>
  </si>
  <si>
    <t>801</t>
  </si>
  <si>
    <t>80104</t>
  </si>
  <si>
    <t>921</t>
  </si>
  <si>
    <t>92195</t>
  </si>
  <si>
    <t xml:space="preserve">Plan przychodów i wydatków zakładów budżetowych </t>
  </si>
  <si>
    <t>Przychody i rozchody budżetu</t>
  </si>
  <si>
    <t xml:space="preserve">Dochody i wydatki związane z realizacją zadań z zakresu administracji rządowej </t>
  </si>
  <si>
    <t>92116</t>
  </si>
  <si>
    <t>92109</t>
  </si>
  <si>
    <t>Rachunek dochodów własnych przy G Wojtkówka</t>
  </si>
  <si>
    <t>Rachunek dochodów własnych przy Urzędzie Miejskim</t>
  </si>
  <si>
    <t>wpływy z darowizny</t>
  </si>
  <si>
    <t>Pozostałe zadania w zakresie polityki społecznej</t>
  </si>
  <si>
    <t>Urzędy naczel.organów władzy pań, kontroli i ochrony prawa oraz sąd.</t>
  </si>
  <si>
    <t>Dochody od osób pr,osób fiz i od inn.jedn.niepos.osob.pr oraz wydatki związane z ich poborem</t>
  </si>
  <si>
    <t>Dochody budżetu gminy  wg działów klasyfikacji budżetowej</t>
  </si>
  <si>
    <t xml:space="preserve">Dochody  budżetu gminy wg źródeł powstawania </t>
  </si>
  <si>
    <t>Rozchody ogółem</t>
  </si>
  <si>
    <t>Przychody ogółem</t>
  </si>
  <si>
    <t xml:space="preserve">Dochody i wydatki związane z realizacją zadań wykonywanych na podstawie porozumień (umów) między jednostkami samorządu terytorialnego </t>
  </si>
  <si>
    <t xml:space="preserve">Przychody z zaciągniętych pożyczek i kredytów </t>
  </si>
  <si>
    <t>I.</t>
  </si>
  <si>
    <t>Stan środków obrotowych na początek roku</t>
  </si>
  <si>
    <t>II.</t>
  </si>
  <si>
    <t>III.</t>
  </si>
  <si>
    <t>IV.</t>
  </si>
  <si>
    <t>Stan środków obrotowych na koniec roku</t>
  </si>
  <si>
    <t>Wpływy z różnych opłat</t>
  </si>
  <si>
    <t>Plan przychodów i wydatków Gminnego Funduszu</t>
  </si>
  <si>
    <t>Ochrony Środowiska i Gospodarki Wodnej</t>
  </si>
  <si>
    <t>w złotych</t>
  </si>
  <si>
    <t>1.1</t>
  </si>
  <si>
    <t>1.1.1</t>
  </si>
  <si>
    <t>pożyczek</t>
  </si>
  <si>
    <t>1.1.2</t>
  </si>
  <si>
    <t>kredytów</t>
  </si>
  <si>
    <t>1.2</t>
  </si>
  <si>
    <t>1.2.1</t>
  </si>
  <si>
    <t>pożyczki</t>
  </si>
  <si>
    <t>1.2.2</t>
  </si>
  <si>
    <t>Obsługa długu (2.1+2.2+2.3)</t>
  </si>
  <si>
    <t>2.1</t>
  </si>
  <si>
    <t>2.1.1</t>
  </si>
  <si>
    <t>2.1.2</t>
  </si>
  <si>
    <t>2.2</t>
  </si>
  <si>
    <t>Spłata odsetek i dyskonta</t>
  </si>
  <si>
    <t>Prognozowane dochody budżetowe</t>
  </si>
  <si>
    <t>Prognozowane wydatki budżetowe</t>
  </si>
  <si>
    <t>Prognozowany wynik finansowy</t>
  </si>
  <si>
    <t>Relacje do dochodów (w %):</t>
  </si>
  <si>
    <t>6.1</t>
  </si>
  <si>
    <t>6.2</t>
  </si>
  <si>
    <t>kredyty</t>
  </si>
  <si>
    <t xml:space="preserve">Projekt adaptacji budynku SPZOZ na Przedszkole </t>
  </si>
  <si>
    <t>Przeciwdziałanie narkomanii</t>
  </si>
  <si>
    <t>PGM</t>
  </si>
  <si>
    <t>Załącznik Nr 13</t>
  </si>
  <si>
    <t>Dochody z tytułu działalności usługowej (opłaty cmentarne,)</t>
  </si>
  <si>
    <t>Dotacje celowe otrzymane z bud.pań na realizację zadań zleconych</t>
  </si>
  <si>
    <t>Dotacje celowe otrzymane z bud.pań na realizację zadań własnych</t>
  </si>
  <si>
    <t>wydatki inwestycyjne</t>
  </si>
  <si>
    <t>Projekt</t>
  </si>
  <si>
    <t>Planowane wydatki</t>
  </si>
  <si>
    <t>Razem wydatki:</t>
  </si>
  <si>
    <t>Klasyfikacja (dział, rozdział)</t>
  </si>
  <si>
    <t>Wydatki na programy i projekty realizowane ze środków pochodzących z funduszy strukturalnych i Funduszu Spójności</t>
  </si>
  <si>
    <t xml:space="preserve">Wydatki
w okresie realizacji Projektu </t>
  </si>
  <si>
    <t xml:space="preserve">Wydatki razem </t>
  </si>
  <si>
    <t>Załącznik Nr 14</t>
  </si>
  <si>
    <t>Deficyt</t>
  </si>
  <si>
    <t>Rozchody</t>
  </si>
  <si>
    <t xml:space="preserve">Poprawa funkcjonalności infrastrukturalnej inicjatyw gospodarczo - społecznych poprzez przebudowę płyty Rynku w Ustrzykach Dolnych. </t>
  </si>
  <si>
    <t>6298</t>
  </si>
  <si>
    <t>Remont budynku ul. Naftowa</t>
  </si>
  <si>
    <t>Hala sportowa - projekt</t>
  </si>
  <si>
    <t>Chodnik w m.-ci Krościenko projekt</t>
  </si>
  <si>
    <r>
      <t xml:space="preserve">Zobowiązania wg tytułów dłużnych: </t>
    </r>
    <r>
      <rPr>
        <sz val="8"/>
        <rFont val="Arial Narrow"/>
        <family val="2"/>
      </rPr>
      <t>(1.1+1.2+1.3)</t>
    </r>
  </si>
  <si>
    <t>Zaciągnięte zobowiązania  z tytułu:</t>
  </si>
  <si>
    <t xml:space="preserve">Spłata rat kapitałowych </t>
  </si>
  <si>
    <t xml:space="preserve">Planowane zobowiązania w roku budż </t>
  </si>
  <si>
    <t xml:space="preserve">długu </t>
  </si>
  <si>
    <t xml:space="preserve">spłaty zadłużenia </t>
  </si>
  <si>
    <t>ZSP Nr 1 - projekt dachu</t>
  </si>
  <si>
    <t>Wydatki bieżące - dotacja przedmiotowa</t>
  </si>
  <si>
    <t>Wydatki majątkowe - dotacja celowa</t>
  </si>
  <si>
    <t>Wydatki bieżące - dotacja  podmiotowa</t>
  </si>
  <si>
    <t>Wydatki bieżące - dotacja celowa</t>
  </si>
  <si>
    <t xml:space="preserve">Kolektor sanitarny ul. 29 Listopada, ul. Bieszczadzka </t>
  </si>
  <si>
    <t>Wydatki bieżące - dotacja podmiotowa</t>
  </si>
  <si>
    <t>Dotacja celowa</t>
  </si>
  <si>
    <t>Biblioteka - (dotacja podmiotowa)</t>
  </si>
  <si>
    <t>Ustrzycki Dom Kultury - (dotacja podmiotowa)</t>
  </si>
  <si>
    <t xml:space="preserve">dotacja przedmiotowa               </t>
  </si>
  <si>
    <t>dotacja podmiotowa z budżetu</t>
  </si>
  <si>
    <t>(dotacja przedmiotowa)</t>
  </si>
  <si>
    <t>(dotacja celowa)</t>
  </si>
  <si>
    <t>Wykup działki w m.-ci Stańkowa</t>
  </si>
  <si>
    <t>Remont budynków ul. Rynek</t>
  </si>
  <si>
    <t>Remont chodnika w ciągu drogi wojewódzkiej</t>
  </si>
  <si>
    <t>Chodnik w m.-ci Brzegi Dolne (cmentarz) projekt</t>
  </si>
  <si>
    <t>%</t>
  </si>
  <si>
    <t>Poprawa funkcjonalności komunikacyjnej na terenach rekreacyjno - inwestycyjnych w Ustrzykach Dolnych - Etap II</t>
  </si>
  <si>
    <t xml:space="preserve">                        Wydatki budżetu gminy                                                 </t>
  </si>
  <si>
    <t>Wpływy i wydatki związane z gromadzeniem opłat produktowych</t>
  </si>
  <si>
    <t>Plan 2008</t>
  </si>
  <si>
    <t>0490</t>
  </si>
  <si>
    <t>Wpływy z inn.lok.opłat pobieranych przez jst np. ustaw</t>
  </si>
  <si>
    <t>2320</t>
  </si>
  <si>
    <t>Dotacje cel.otrzym z powiatu na zad.bież.real. np.porozumień</t>
  </si>
  <si>
    <t>I</t>
  </si>
  <si>
    <t>Dochody bieżące budżetu</t>
  </si>
  <si>
    <t>Dochody z majątku gminy: dzierżawa, użytk.wiecz.</t>
  </si>
  <si>
    <t>Dochody ze sprzedaży majątku</t>
  </si>
  <si>
    <t>Dotacje i środki otrzymane na inwestycje</t>
  </si>
  <si>
    <t>II</t>
  </si>
  <si>
    <t xml:space="preserve">Dochody za tenuty obwodów łowieckich </t>
  </si>
  <si>
    <t>Umowa o dofinan. inwestycji z Funduszy Norweskich</t>
  </si>
  <si>
    <t>Droga Równia</t>
  </si>
  <si>
    <t>Droga Bandrów</t>
  </si>
  <si>
    <t>Promocja jednostek samorządu terytorialnego</t>
  </si>
  <si>
    <t>Wynagrodzenia</t>
  </si>
  <si>
    <t>Rezerwa</t>
  </si>
  <si>
    <t>Fundusze norweskie</t>
  </si>
  <si>
    <t>2680</t>
  </si>
  <si>
    <t>Rezerwa celowa na realizację zadań własnych z zakr.zarządzania kryzysow.</t>
  </si>
  <si>
    <t>Spłaty</t>
  </si>
  <si>
    <t>Deficyt+spłaty</t>
  </si>
  <si>
    <t>Załącznik Nr 3a</t>
  </si>
  <si>
    <t xml:space="preserve">                        Wydatki inwestycyjne budżetu gminy  wg działów i rozdziałów                                                                </t>
  </si>
  <si>
    <t>Rekompensata utraconych dochodów z podatkach i opłatach lokalnych</t>
  </si>
  <si>
    <t>Obsługa długu</t>
  </si>
  <si>
    <t>Wydatki + rozchody</t>
  </si>
  <si>
    <t>Biblioteki - dotacje</t>
  </si>
  <si>
    <t>(umowy z Powiatem Bieszczadzkim na współ finansowanie PiMBP)</t>
  </si>
  <si>
    <t xml:space="preserve">dotacja celowa </t>
  </si>
  <si>
    <t>Plac Chopina 1</t>
  </si>
  <si>
    <t>Plac Chopina 2</t>
  </si>
  <si>
    <t>Plac Chopina 3</t>
  </si>
  <si>
    <t>Plac Chopina 4</t>
  </si>
  <si>
    <t>Plac Chopina 5</t>
  </si>
  <si>
    <t>Plac Chopina 6</t>
  </si>
  <si>
    <t>Plac Chopina 7</t>
  </si>
  <si>
    <t>Pionierska 6</t>
  </si>
  <si>
    <t>Korczaka 4</t>
  </si>
  <si>
    <t>Korczaka 5</t>
  </si>
  <si>
    <t>Korczaka 7</t>
  </si>
  <si>
    <t>Gombrowicza 39</t>
  </si>
  <si>
    <t>Dwernickiego 4</t>
  </si>
  <si>
    <t>29-go Listopada 3</t>
  </si>
  <si>
    <t>1-go Maja 41</t>
  </si>
  <si>
    <t>1-go Maja 16</t>
  </si>
  <si>
    <t>1-go Maja 18</t>
  </si>
  <si>
    <t>Gombrowicza 40</t>
  </si>
  <si>
    <t>Dworcowa 6</t>
  </si>
  <si>
    <t>Fabryczna 29</t>
  </si>
  <si>
    <t>Brzegi Dolne 43</t>
  </si>
  <si>
    <t>Trzcianiec 1</t>
  </si>
  <si>
    <t>Trzcianiec 2</t>
  </si>
  <si>
    <t xml:space="preserve">Powierzchnia </t>
  </si>
  <si>
    <t xml:space="preserve">Zaliczka </t>
  </si>
  <si>
    <t>za m2</t>
  </si>
  <si>
    <t xml:space="preserve">Kwota </t>
  </si>
  <si>
    <t>miesięczna</t>
  </si>
  <si>
    <t>Udział Gminy</t>
  </si>
  <si>
    <t>Udział wspólnoty</t>
  </si>
  <si>
    <t>kwota</t>
  </si>
  <si>
    <t>% w powierzchni</t>
  </si>
  <si>
    <t>ogólna budynku</t>
  </si>
  <si>
    <t>budynku Gminy</t>
  </si>
  <si>
    <t>Wspieranie systemu edukacji w gminie Ustrzyki D. poprzez adaptację budynku użyteczności publicznej na cele przedszkolne. Przebudowa, nadbudowa i rozbudowa budynku byłego ZOZ na Przedszkole</t>
  </si>
  <si>
    <t>Oczyszczalnia ścieków w m-ci Hoszów (przy SP)- projekt</t>
  </si>
  <si>
    <t>Oczyszczalnia ścieków w m-ci Liskowate - projekt</t>
  </si>
  <si>
    <t>Wodociąg w  m-ci Ropienka (cel - dostarczanie wody)</t>
  </si>
  <si>
    <t>cel- pozostałe dziedziny (badanie gleby)</t>
  </si>
  <si>
    <t xml:space="preserve">Plan dochodów i wydatków własnych </t>
  </si>
  <si>
    <t>Dochody majątkowe budżetu</t>
  </si>
  <si>
    <t>Wydatki inwestycyjne</t>
  </si>
  <si>
    <t>Zarządzanie kryzysowe</t>
  </si>
  <si>
    <t>Dotacje celowe otrzymane z bud.pań na realizację zad. zlec. ogółem</t>
  </si>
  <si>
    <t>710</t>
  </si>
  <si>
    <t>Dochody ze sprzedaży majątku -  drewno</t>
  </si>
  <si>
    <t>Dochody ze sprzedaży majątku - nieruchomości</t>
  </si>
  <si>
    <t>Dochody ze sprzedaży majątku - sprzedaż  Kryta Pływalnia</t>
  </si>
  <si>
    <t>Kontrola</t>
  </si>
  <si>
    <t>Chodnik ul. 1 Maja (przystanek)</t>
  </si>
  <si>
    <t>Plan 2009</t>
  </si>
  <si>
    <t>SP Ropienka - projekt UDA-POKL.09.01.01-18-244</t>
  </si>
  <si>
    <t>2440</t>
  </si>
  <si>
    <t>Dotacje z funduszy celowych na zadania własne</t>
  </si>
  <si>
    <t>Dotacje z funduszy celowych na real.zad.wł</t>
  </si>
  <si>
    <t>Chodnik ul.Rzeczna</t>
  </si>
  <si>
    <t xml:space="preserve">Chodnik w m.-ci Krościenko </t>
  </si>
  <si>
    <t xml:space="preserve">Chodnik ul.Jasień </t>
  </si>
  <si>
    <t>Chodnik ul.Szkolna</t>
  </si>
  <si>
    <t xml:space="preserve">Chodnik ul.Kopernika </t>
  </si>
  <si>
    <t>Chodnik ul.Sikorskiego</t>
  </si>
  <si>
    <t>Parking ul.Kopernika (przed UM)</t>
  </si>
  <si>
    <t>Nakładki k/ UM</t>
  </si>
  <si>
    <t>Nakładki ul.Korczaka - Rynek</t>
  </si>
  <si>
    <t>Droga Wojtkówka</t>
  </si>
  <si>
    <t>Droga Ustjanowa</t>
  </si>
  <si>
    <t>Drogi na Pl.Chopina</t>
  </si>
  <si>
    <t>Dotacja celowa - wydatki inwestycyjne</t>
  </si>
  <si>
    <t>ul. Krótka</t>
  </si>
  <si>
    <t>ul. Rynek (BARR)</t>
  </si>
  <si>
    <t>ul. Wyzwolenia</t>
  </si>
  <si>
    <t>Podkarpacki System e-Administracji Publicznej</t>
  </si>
  <si>
    <t xml:space="preserve">SP Łobozew </t>
  </si>
  <si>
    <t xml:space="preserve">ZSP Nr 1 </t>
  </si>
  <si>
    <t>SP Wojtkowa (ogrodzenie)</t>
  </si>
  <si>
    <t>Oświetlenie w m-ci Zawadka PT</t>
  </si>
  <si>
    <t>Oświetlenie w m-ci Ropienka PT</t>
  </si>
  <si>
    <t>Oświetlenie w m-ci Łobozew PT</t>
  </si>
  <si>
    <t>Oświetlenie w m-ci Krościenko PT</t>
  </si>
  <si>
    <t>Oświetlenie w m-ci Daszówka PT</t>
  </si>
  <si>
    <t>Oświetlenie w m-ci Brelików PT</t>
  </si>
  <si>
    <t>Oświetlenie w m-ci Ustrzyki Dolne (Strwiążyk) PT</t>
  </si>
  <si>
    <t>Oświetlenie w m-ci Brzegi Dolne - Łodyna PT</t>
  </si>
  <si>
    <t>Oświetlenie w m-ci Ustrzyki Dolne (Naftowa) PT</t>
  </si>
  <si>
    <t>Oświetlenie w m-ci Ustrzyki Dolne (Bieszczadzka) PT</t>
  </si>
  <si>
    <t>Oświetlenie w m-ci Ustjanowa</t>
  </si>
  <si>
    <t>Oświetlenie w m-ci Jałowe PT</t>
  </si>
  <si>
    <t>Oświetlenie w m-ci Jureczkowa PT</t>
  </si>
  <si>
    <t>Oświetlenie w m-ci Grąziowa PT</t>
  </si>
  <si>
    <t>Budowa hali sportowej w Ustrzykach Dolnych szansą na równy dostęp do infrastruktury sportowej uczniów z terenów gmin bieszczadzkich</t>
  </si>
  <si>
    <t xml:space="preserve">Ograniczenie ilości odpadów przedostających się do środowiska naturalnego poprzez rekultywację wysypiska śmieci w Brzegach </t>
  </si>
  <si>
    <t xml:space="preserve">Podniesienie atrakcyjności turystyczno - inwestycyjnej Gminy Ustrzyki Dolne - budowa kanalizacji </t>
  </si>
  <si>
    <t>Dostarczanie ciepła</t>
  </si>
  <si>
    <t>Likwidacja lokalnych źródeł emisji zanieczyszczeń powietrza poprzez rozbudowę sieci ciepłowniczych w Ustrzykach Dolnych</t>
  </si>
  <si>
    <t>Rozbudowa świetlicy w Ropience</t>
  </si>
  <si>
    <t xml:space="preserve">Uporządkowanie gospodarki ściekowej w gminie Ustrzyki Dolne - budowa wodociągu wiejskiego w Dźwiniaczu Dolnym  i Stańkowej    </t>
  </si>
  <si>
    <t>Chodnik w m.-ci Brzegi Dolne</t>
  </si>
  <si>
    <t>Modernizacja budynku UM</t>
  </si>
  <si>
    <t>Stołówki szkolne</t>
  </si>
  <si>
    <t>Pozostała działalność (m.in. MKP i MOEiW)</t>
  </si>
  <si>
    <t>Wpływy z usług MPK</t>
  </si>
  <si>
    <t>Wpływy z usług MOEiW</t>
  </si>
  <si>
    <t xml:space="preserve">W poszukiwaniu wspólnych korzeni - tworzenie zaplecza turystyczno -rekreacyjnego poprzez modernizację Parku pod Dębami </t>
  </si>
  <si>
    <t>Strategia zarządzania kulturą i ruchem turystycznym w przygranicznych obszarach Polski i Ukrainy</t>
  </si>
  <si>
    <t>0760</t>
  </si>
  <si>
    <t>Wpływy z tyt.odpłatnego przekształcenia pr.użyt.wiecz.</t>
  </si>
  <si>
    <t>Prognoza kwoty długu i spłat na rok 2009 i lata następne</t>
  </si>
  <si>
    <t>Planowany dług na dzień 31.12.2008</t>
  </si>
  <si>
    <t>Poprawa warunków bezpieczeństwa i nośności gminnej drogi publicznej Nr 119210 R w m-ci Teleśnica</t>
  </si>
  <si>
    <t>Rewitalizacja centrum miasta - Poprawa estetyki i funkcjonalności przestrzeni publicznej</t>
  </si>
  <si>
    <t>2009 r.</t>
  </si>
  <si>
    <t>Dochody ze sprzedaży majątku - sprzedaż BCIIP</t>
  </si>
  <si>
    <t>630</t>
  </si>
  <si>
    <t>Tworzenie nowoczesnej bazy turystyczno - rekreacyjnej w Ustrzykach Dolnych -budowa basenu odkrytego przy Międzyszkolnej Krytej Pływalni</t>
  </si>
  <si>
    <t>Ochrona i konserwacja zabytków</t>
  </si>
  <si>
    <t>92120</t>
  </si>
  <si>
    <t>(dofinansowanie prac w zakresie ochrony i konserwacji dóbr kultury) - cel</t>
  </si>
  <si>
    <t>(prace remontowe zabytkowego kościoła parafialnego)</t>
  </si>
  <si>
    <t xml:space="preserve">Podmiot: Parafia Rzymskokatolicka NMP w Ustrzykach D. </t>
  </si>
  <si>
    <t>Adaptacja na lokale socjalne budynku w m.-ci Równia</t>
  </si>
  <si>
    <t>Adaptacja na lokale komunalne budynku w m-ci Ustrzyki D. ul. Fabryczna PT</t>
  </si>
  <si>
    <t>Tworzenie warunków aktywizacji gospodarczej poprzez przebudowę drogi przy ul. Wiejska</t>
  </si>
  <si>
    <t>Inwestycje</t>
  </si>
  <si>
    <t>Wydatki biezące bez rezerwy na kryzysowe</t>
  </si>
  <si>
    <t>wynagrodzenia</t>
  </si>
  <si>
    <t>obsługa długu</t>
  </si>
  <si>
    <t>Program: Program Operacyjny Kapitał Ludzki</t>
  </si>
  <si>
    <t>Priorytet: IX Rozwój wykształcenia i kompetencji w regionach</t>
  </si>
  <si>
    <t>Działanie: 9.1 Wyrównywanie szans edukacyjnych i zapewnienie wysokiej jakości usług edukacyjnych świadczonych w systemie oświaty</t>
  </si>
  <si>
    <t>Nazwa projektu: "Radość dzieci"</t>
  </si>
  <si>
    <t>801-80195</t>
  </si>
  <si>
    <t>Środki
własne</t>
  </si>
  <si>
    <t>Dofinansowanie</t>
  </si>
  <si>
    <t>Załącznik Nr 15</t>
  </si>
  <si>
    <t>Program pod nazwą: Inwestycje w zakresie wytwarzania i zaopatrywania w energię elektryczną,  wodę i gaz</t>
  </si>
  <si>
    <t>L.p</t>
  </si>
  <si>
    <t>Nazwa zadania programu</t>
  </si>
  <si>
    <t>Cel programu</t>
  </si>
  <si>
    <t>Jednostka realizująca program</t>
  </si>
  <si>
    <t>Okres realizacji</t>
  </si>
  <si>
    <t>Łączne nakłady finansowe w okresie real</t>
  </si>
  <si>
    <t>Wysokość wydatków w latach 2009-2010</t>
  </si>
  <si>
    <t>Środki</t>
  </si>
  <si>
    <t xml:space="preserve">własne </t>
  </si>
  <si>
    <t>inne</t>
  </si>
  <si>
    <t xml:space="preserve">Budowa ciepłociągu </t>
  </si>
  <si>
    <t>Urząd Miejski w Ustrzykach</t>
  </si>
  <si>
    <t>2008-2010</t>
  </si>
  <si>
    <t>Program pod nazwą: Rewitalizacja miast</t>
  </si>
  <si>
    <t>Poprawa stanu budynku i placów</t>
  </si>
  <si>
    <t>III</t>
  </si>
  <si>
    <t>Program pod nazwą: Inwestycje drogowe</t>
  </si>
  <si>
    <t>Poprawa warunków przejazdu</t>
  </si>
  <si>
    <t>IV</t>
  </si>
  <si>
    <t>Program pod nazwą: Infrastruktura sportowa i rekreacyjna</t>
  </si>
  <si>
    <t>Tworzenie nowoczesnej bazy turystyczno - rekreacyjnej w Ustrzykach Dolnych -budowa basenu odkrytego przy Międzyszkol.Krytej Pływalni</t>
  </si>
  <si>
    <t>Budowa obiektu</t>
  </si>
  <si>
    <t xml:space="preserve">Urząd Miejski w Ustrzykach </t>
  </si>
  <si>
    <t>V</t>
  </si>
  <si>
    <t>Program pod nazwą: Infrastruktura edukacyjna</t>
  </si>
  <si>
    <t xml:space="preserve">Budowa budynku </t>
  </si>
  <si>
    <t>2008-2011</t>
  </si>
  <si>
    <t>VI</t>
  </si>
  <si>
    <t xml:space="preserve">Program pod nazwą: Infrastruktura ochrony środowiska </t>
  </si>
  <si>
    <t xml:space="preserve">Rekultywacja </t>
  </si>
  <si>
    <t>VII</t>
  </si>
  <si>
    <t xml:space="preserve">Program pod nazwą: Budowa i modernizacja budynków użyteczności publicznej </t>
  </si>
  <si>
    <t xml:space="preserve">Rozbudowa świetlicy w Ropience </t>
  </si>
  <si>
    <t xml:space="preserve">Rozbudowa obiektu użyteczności publicznej </t>
  </si>
  <si>
    <t>RAZEM</t>
  </si>
  <si>
    <t>Drogi publiczne powiatowe</t>
  </si>
  <si>
    <t>Deficyt + rozchody</t>
  </si>
  <si>
    <t xml:space="preserve">           dochody jst zw.z real.zadań z zakr.adm.rząd i innych zadań zlec.ust.</t>
  </si>
  <si>
    <t>Dochody jst zw.z real.zadań z zakr.adm.rząd i innych zadań zlec.ustawami</t>
  </si>
  <si>
    <t>Pozostałe odsetki (m.in.od lokat bankowych)</t>
  </si>
  <si>
    <t>Dochody z przekształcenia użytkowania wieczystego w własność</t>
  </si>
  <si>
    <t xml:space="preserve">Dochody uzyskiwane przez gminne jednostki budżetowe, w tym:                </t>
  </si>
  <si>
    <t xml:space="preserve">       Dochody Krytej Pływalni (opłaty za korzystanie z basenu)</t>
  </si>
  <si>
    <t xml:space="preserve">       Dochody MOEiW (opłaty za wynajem domków)</t>
  </si>
  <si>
    <t xml:space="preserve">       Dochody BCIiP  (sprzedaż biletów, pamiątek )</t>
  </si>
  <si>
    <t>um.UDA-POKL.09.01.01-18-244 z dn. 02-10-2008</t>
  </si>
  <si>
    <t xml:space="preserve">Wydatki na pomoc finansową dla Powiatu Bieszczadzkiego w Ustrzykach Dolnych na dofinansowanie zadania pn. „Poprawa dostępności komunikacyjnej powiatu poprzez remont drogi powiatowej nr 2269 R Wańkowa – Dźwiniacz - Brzegi Dolne”  </t>
  </si>
  <si>
    <t xml:space="preserve">Wydatki na pomoc finasową dla Powiatu Bieszczadzkiego w Ustrzykach Dolnych na dofinansowanie zadania pn. „Poprawa dostępności komunikacyjnej powiatu poprzez remont drogi powiatowej nr 2269 R Wańkowa – Dźwiniacz - Brzegi Dolne”  </t>
  </si>
  <si>
    <t>Zobowiązania wg tytułów dłużnych na koniec roku</t>
  </si>
  <si>
    <t>Dochody ogółem</t>
  </si>
  <si>
    <t xml:space="preserve">Udziały </t>
  </si>
  <si>
    <t>Dzierżawa, użytk.wiecz.</t>
  </si>
  <si>
    <t>Dotacje</t>
  </si>
  <si>
    <t>Subwencje</t>
  </si>
  <si>
    <t>Pozostałe dochody</t>
  </si>
  <si>
    <t>Wydatki ogółem</t>
  </si>
  <si>
    <t>Zadłużenie na koniec 2008</t>
  </si>
  <si>
    <t>Zadłużenie na koniec 2009</t>
  </si>
  <si>
    <t>Dochody na  2009 rok  w dostosowaniu do  klasyfikacji budżetowej</t>
  </si>
  <si>
    <t>2008</t>
  </si>
  <si>
    <t>2009</t>
  </si>
  <si>
    <t>um.UDA-POKL.09.01.01-18-245/08</t>
  </si>
  <si>
    <t>Dotacja rozwojowa- um.UDA-POKL.09.01.01-18-245</t>
  </si>
  <si>
    <t>Wysokość wydatków w latach 2009-2011</t>
  </si>
  <si>
    <t>Przedszkole nr 2 - projekt UDA-POKL.09.01.01-18-245</t>
  </si>
  <si>
    <t>LIMIT WYDATKÓW  NA  WIELOLETNIE   PROGRAMY  INWESTYCYJNE   GMINY USTRZYKI   DOLNE   NA  LATA  2009-2011</t>
  </si>
  <si>
    <t>DEFICYT</t>
  </si>
  <si>
    <t xml:space="preserve">Dotacja rozwojowa- um.UDA-POKL.09.01.01-18-244 </t>
  </si>
  <si>
    <t xml:space="preserve">                        Wydatki budżetu gminy wg działów i rozdziałów                                                                </t>
  </si>
  <si>
    <t>Nazwa projektu: Przedszkole przyjazne środowisku</t>
  </si>
  <si>
    <t>Poprawa Bezpieczeństwa Ruchu Drogowego w rejonie Szkoły Podstawowej w Ustjanowej</t>
  </si>
  <si>
    <t>Chodnik ul. 29 Listopada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</si>
</sst>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\ _z_ł_-;\-* #,##0.0\ _z_ł_-;_-* &quot;-&quot;?\ _z_ł_-;_-@_-"/>
    <numFmt numFmtId="170" formatCode="_-* #,##0.000\ _z_ł_-;\-* #,##0.000\ _z_ł_-;_-* &quot;-&quot;??\ _z_ł_-;_-@_-"/>
    <numFmt numFmtId="171" formatCode="_-* #,##0.0000\ _z_ł_-;\-* #,##0.0000\ _z_ł_-;_-* &quot;-&quot;??\ _z_ł_-;_-@_-"/>
    <numFmt numFmtId="172" formatCode="#,##0.00_ ;\-#,##0.00\ "/>
    <numFmt numFmtId="173" formatCode="#,##0.00\ _z_ł"/>
    <numFmt numFmtId="174" formatCode="#,##0.0\ _z_ł"/>
    <numFmt numFmtId="175" formatCode="#,##0\ _z_ł"/>
  </numFmts>
  <fonts count="40">
    <font>
      <sz val="10"/>
      <name val="Arial CE"/>
      <family val="0"/>
    </font>
    <font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name val="Arial Narrow"/>
      <family val="2"/>
    </font>
    <font>
      <u val="singleAccounting"/>
      <sz val="10"/>
      <name val="Arial Narrow"/>
      <family val="2"/>
    </font>
    <font>
      <b/>
      <u val="single"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color indexed="10"/>
      <name val="Arial Narrow"/>
      <family val="2"/>
    </font>
    <font>
      <b/>
      <sz val="10"/>
      <name val="Arial CE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6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9"/>
      <name val="Arial CE"/>
      <family val="0"/>
    </font>
    <font>
      <sz val="8"/>
      <color indexed="55"/>
      <name val="Arial CE"/>
      <family val="0"/>
    </font>
    <font>
      <b/>
      <sz val="8"/>
      <color indexed="55"/>
      <name val="Arial Narrow"/>
      <family val="2"/>
    </font>
    <font>
      <sz val="8"/>
      <color indexed="55"/>
      <name val="Arial Narrow"/>
      <family val="2"/>
    </font>
    <font>
      <sz val="10"/>
      <color indexed="55"/>
      <name val="Arial Narrow"/>
      <family val="2"/>
    </font>
    <font>
      <b/>
      <sz val="10"/>
      <color indexed="55"/>
      <name val="Arial Narrow"/>
      <family val="2"/>
    </font>
    <font>
      <u val="singleAccounting"/>
      <sz val="10"/>
      <color indexed="55"/>
      <name val="Arial Narrow"/>
      <family val="2"/>
    </font>
    <font>
      <u val="single"/>
      <sz val="10"/>
      <color indexed="55"/>
      <name val="Arial Narrow"/>
      <family val="2"/>
    </font>
    <font>
      <sz val="10"/>
      <color indexed="55"/>
      <name val="Arial CE"/>
      <family val="0"/>
    </font>
    <font>
      <b/>
      <sz val="12"/>
      <color indexed="55"/>
      <name val="Arial Narrow"/>
      <family val="2"/>
    </font>
    <font>
      <b/>
      <sz val="14"/>
      <name val="Arial Narrow"/>
      <family val="2"/>
    </font>
    <font>
      <u val="single"/>
      <sz val="9"/>
      <name val="Arial Narrow"/>
      <family val="2"/>
    </font>
    <font>
      <u val="singleAccounting"/>
      <sz val="9"/>
      <name val="Arial Narrow"/>
      <family val="2"/>
    </font>
    <font>
      <b/>
      <u val="singleAccounting"/>
      <sz val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168" fontId="5" fillId="0" borderId="0" xfId="15" applyNumberFormat="1" applyFont="1" applyAlignment="1">
      <alignment horizontal="left"/>
    </xf>
    <xf numFmtId="168" fontId="5" fillId="0" borderId="0" xfId="15" applyNumberFormat="1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168" fontId="5" fillId="0" borderId="2" xfId="15" applyNumberFormat="1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168" fontId="4" fillId="0" borderId="4" xfId="15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168" fontId="7" fillId="0" borderId="4" xfId="15" applyNumberFormat="1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168" fontId="5" fillId="0" borderId="4" xfId="15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8" fontId="5" fillId="0" borderId="7" xfId="15" applyNumberFormat="1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168" fontId="4" fillId="0" borderId="8" xfId="15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5" xfId="0" applyFont="1" applyBorder="1" applyAlignment="1">
      <alignment vertical="top" wrapText="1"/>
    </xf>
    <xf numFmtId="168" fontId="5" fillId="0" borderId="8" xfId="15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6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left" vertical="top" wrapText="1"/>
    </xf>
    <xf numFmtId="49" fontId="5" fillId="0" borderId="9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168" fontId="5" fillId="0" borderId="6" xfId="15" applyNumberFormat="1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left" vertical="top" wrapText="1"/>
    </xf>
    <xf numFmtId="168" fontId="5" fillId="0" borderId="3" xfId="15" applyNumberFormat="1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168" fontId="4" fillId="0" borderId="5" xfId="15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168" fontId="6" fillId="0" borderId="6" xfId="15" applyNumberFormat="1" applyFont="1" applyBorder="1" applyAlignment="1">
      <alignment horizontal="left" vertical="top" wrapText="1"/>
    </xf>
    <xf numFmtId="168" fontId="4" fillId="0" borderId="13" xfId="15" applyNumberFormat="1" applyFont="1" applyBorder="1" applyAlignment="1">
      <alignment horizontal="left" vertical="top" wrapText="1"/>
    </xf>
    <xf numFmtId="168" fontId="7" fillId="0" borderId="0" xfId="15" applyNumberFormat="1" applyFont="1" applyBorder="1" applyAlignment="1">
      <alignment horizontal="left" vertical="top" wrapText="1"/>
    </xf>
    <xf numFmtId="168" fontId="7" fillId="0" borderId="6" xfId="15" applyNumberFormat="1" applyFont="1" applyBorder="1" applyAlignment="1">
      <alignment horizontal="left" vertical="top" wrapText="1"/>
    </xf>
    <xf numFmtId="0" fontId="5" fillId="0" borderId="6" xfId="0" applyFont="1" applyBorder="1" applyAlignment="1">
      <alignment horizontal="left"/>
    </xf>
    <xf numFmtId="168" fontId="5" fillId="0" borderId="0" xfId="15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/>
    </xf>
    <xf numFmtId="168" fontId="5" fillId="0" borderId="12" xfId="15" applyNumberFormat="1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/>
    </xf>
    <xf numFmtId="168" fontId="4" fillId="0" borderId="6" xfId="15" applyNumberFormat="1" applyFont="1" applyBorder="1" applyAlignment="1">
      <alignment horizontal="left" vertical="top" wrapText="1"/>
    </xf>
    <xf numFmtId="168" fontId="4" fillId="0" borderId="0" xfId="15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68" fontId="4" fillId="0" borderId="7" xfId="15" applyNumberFormat="1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9" xfId="0" applyNumberFormat="1" applyFont="1" applyBorder="1" applyAlignment="1">
      <alignment horizontal="right" vertical="top" wrapText="1"/>
    </xf>
    <xf numFmtId="49" fontId="5" fillId="0" borderId="11" xfId="0" applyNumberFormat="1" applyFont="1" applyBorder="1" applyAlignment="1">
      <alignment horizontal="right" vertical="top" wrapText="1"/>
    </xf>
    <xf numFmtId="49" fontId="4" fillId="0" borderId="14" xfId="0" applyNumberFormat="1" applyFont="1" applyBorder="1" applyAlignment="1">
      <alignment horizontal="right" vertical="top" wrapText="1"/>
    </xf>
    <xf numFmtId="49" fontId="5" fillId="0" borderId="14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0" borderId="6" xfId="0" applyFont="1" applyBorder="1" applyAlignment="1">
      <alignment/>
    </xf>
    <xf numFmtId="0" fontId="4" fillId="0" borderId="9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vertical="top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5" fillId="0" borderId="1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168" fontId="9" fillId="0" borderId="0" xfId="15" applyNumberFormat="1" applyFont="1" applyAlignment="1">
      <alignment/>
    </xf>
    <xf numFmtId="168" fontId="10" fillId="0" borderId="0" xfId="15" applyNumberFormat="1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14" fillId="0" borderId="0" xfId="0" applyFont="1" applyAlignment="1">
      <alignment/>
    </xf>
    <xf numFmtId="168" fontId="14" fillId="0" borderId="0" xfId="15" applyNumberFormat="1" applyFont="1" applyAlignment="1">
      <alignment/>
    </xf>
    <xf numFmtId="0" fontId="5" fillId="0" borderId="8" xfId="0" applyFont="1" applyBorder="1" applyAlignment="1">
      <alignment horizontal="left" vertical="top" wrapText="1"/>
    </xf>
    <xf numFmtId="43" fontId="5" fillId="0" borderId="0" xfId="15" applyFont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 vertical="top" wrapText="1"/>
    </xf>
    <xf numFmtId="168" fontId="5" fillId="0" borderId="0" xfId="15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9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68" fontId="4" fillId="0" borderId="0" xfId="15" applyNumberFormat="1" applyFont="1" applyAlignment="1">
      <alignment horizontal="center"/>
    </xf>
    <xf numFmtId="168" fontId="4" fillId="0" borderId="0" xfId="15" applyNumberFormat="1" applyFont="1" applyAlignment="1">
      <alignment/>
    </xf>
    <xf numFmtId="168" fontId="5" fillId="0" borderId="0" xfId="15" applyNumberFormat="1" applyFont="1" applyBorder="1" applyAlignment="1">
      <alignment/>
    </xf>
    <xf numFmtId="168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168" fontId="5" fillId="0" borderId="5" xfId="15" applyNumberFormat="1" applyFont="1" applyBorder="1" applyAlignment="1">
      <alignment horizontal="left" vertical="top" wrapText="1"/>
    </xf>
    <xf numFmtId="168" fontId="5" fillId="0" borderId="13" xfId="15" applyNumberFormat="1" applyFont="1" applyBorder="1" applyAlignment="1">
      <alignment horizontal="left" vertical="top" wrapText="1"/>
    </xf>
    <xf numFmtId="43" fontId="5" fillId="0" borderId="0" xfId="15" applyFont="1" applyAlignment="1">
      <alignment horizontal="left" vertical="justify"/>
    </xf>
    <xf numFmtId="43" fontId="5" fillId="0" borderId="6" xfId="15" applyFont="1" applyBorder="1" applyAlignment="1">
      <alignment/>
    </xf>
    <xf numFmtId="43" fontId="5" fillId="0" borderId="0" xfId="15" applyFont="1" applyAlignment="1">
      <alignment horizontal="left"/>
    </xf>
    <xf numFmtId="43" fontId="4" fillId="0" borderId="4" xfId="15" applyFont="1" applyBorder="1" applyAlignment="1">
      <alignment horizontal="left" vertical="top" wrapText="1"/>
    </xf>
    <xf numFmtId="43" fontId="5" fillId="0" borderId="4" xfId="15" applyFont="1" applyBorder="1" applyAlignment="1">
      <alignment horizontal="left" vertical="top" wrapText="1"/>
    </xf>
    <xf numFmtId="43" fontId="5" fillId="0" borderId="7" xfId="15" applyFont="1" applyBorder="1" applyAlignment="1">
      <alignment horizontal="left" vertical="top" wrapText="1"/>
    </xf>
    <xf numFmtId="43" fontId="4" fillId="0" borderId="8" xfId="15" applyFont="1" applyBorder="1" applyAlignment="1">
      <alignment horizontal="left" vertical="top" wrapText="1"/>
    </xf>
    <xf numFmtId="43" fontId="5" fillId="0" borderId="0" xfId="15" applyFont="1" applyAlignment="1">
      <alignment/>
    </xf>
    <xf numFmtId="43" fontId="5" fillId="0" borderId="7" xfId="15" applyFont="1" applyBorder="1" applyAlignment="1">
      <alignment horizontal="justify" vertical="justify"/>
    </xf>
    <xf numFmtId="43" fontId="5" fillId="0" borderId="4" xfId="15" applyFont="1" applyBorder="1" applyAlignment="1">
      <alignment horizontal="justify" vertical="justify" wrapText="1"/>
    </xf>
    <xf numFmtId="43" fontId="5" fillId="0" borderId="6" xfId="15" applyFont="1" applyBorder="1" applyAlignment="1">
      <alignment/>
    </xf>
    <xf numFmtId="0" fontId="0" fillId="0" borderId="0" xfId="0" applyFont="1" applyAlignment="1">
      <alignment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168" fontId="11" fillId="0" borderId="0" xfId="15" applyNumberFormat="1" applyFont="1" applyBorder="1" applyAlignment="1">
      <alignment horizontal="left" vertical="top" wrapText="1"/>
    </xf>
    <xf numFmtId="168" fontId="11" fillId="0" borderId="6" xfId="15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43" fontId="4" fillId="0" borderId="5" xfId="15" applyFont="1" applyBorder="1" applyAlignment="1">
      <alignment/>
    </xf>
    <xf numFmtId="0" fontId="4" fillId="0" borderId="5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/>
    </xf>
    <xf numFmtId="43" fontId="4" fillId="0" borderId="8" xfId="15" applyFont="1" applyBorder="1" applyAlignment="1">
      <alignment/>
    </xf>
    <xf numFmtId="43" fontId="5" fillId="0" borderId="4" xfId="15" applyFont="1" applyBorder="1" applyAlignment="1">
      <alignment/>
    </xf>
    <xf numFmtId="0" fontId="5" fillId="0" borderId="10" xfId="0" applyFont="1" applyBorder="1" applyAlignment="1">
      <alignment horizontal="center"/>
    </xf>
    <xf numFmtId="43" fontId="5" fillId="0" borderId="4" xfId="15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8" fontId="5" fillId="0" borderId="0" xfId="15" applyNumberFormat="1" applyFont="1" applyAlignment="1">
      <alignment horizontal="center" vertical="justify"/>
    </xf>
    <xf numFmtId="0" fontId="5" fillId="0" borderId="10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43" fontId="5" fillId="0" borderId="5" xfId="15" applyFont="1" applyBorder="1" applyAlignment="1">
      <alignment horizontal="center"/>
    </xf>
    <xf numFmtId="43" fontId="6" fillId="0" borderId="6" xfId="15" applyFont="1" applyBorder="1" applyAlignment="1">
      <alignment horizontal="center"/>
    </xf>
    <xf numFmtId="43" fontId="5" fillId="0" borderId="3" xfId="15" applyFont="1" applyBorder="1" applyAlignment="1">
      <alignment horizontal="center"/>
    </xf>
    <xf numFmtId="43" fontId="5" fillId="0" borderId="0" xfId="15" applyFont="1" applyAlignment="1">
      <alignment horizontal="center"/>
    </xf>
    <xf numFmtId="0" fontId="5" fillId="0" borderId="6" xfId="0" applyFont="1" applyBorder="1" applyAlignment="1">
      <alignment horizontal="right" vertical="top" wrapText="1"/>
    </xf>
    <xf numFmtId="43" fontId="5" fillId="0" borderId="6" xfId="15" applyFont="1" applyBorder="1" applyAlignment="1">
      <alignment horizontal="justify"/>
    </xf>
    <xf numFmtId="43" fontId="5" fillId="0" borderId="6" xfId="15" applyFont="1" applyBorder="1" applyAlignment="1">
      <alignment vertical="justify" wrapText="1"/>
    </xf>
    <xf numFmtId="43" fontId="5" fillId="0" borderId="4" xfId="15" applyFont="1" applyBorder="1" applyAlignment="1">
      <alignment vertical="justify" wrapText="1"/>
    </xf>
    <xf numFmtId="0" fontId="5" fillId="0" borderId="3" xfId="0" applyFont="1" applyBorder="1" applyAlignment="1">
      <alignment horizontal="center"/>
    </xf>
    <xf numFmtId="43" fontId="4" fillId="0" borderId="0" xfId="15" applyFont="1" applyAlignment="1">
      <alignment horizontal="left" wrapText="1"/>
    </xf>
    <xf numFmtId="43" fontId="4" fillId="0" borderId="0" xfId="15" applyFont="1" applyBorder="1" applyAlignment="1">
      <alignment horizontal="left" vertical="top" wrapText="1"/>
    </xf>
    <xf numFmtId="43" fontId="5" fillId="0" borderId="20" xfId="15" applyFont="1" applyBorder="1" applyAlignment="1">
      <alignment horizontal="center"/>
    </xf>
    <xf numFmtId="43" fontId="13" fillId="0" borderId="0" xfId="15" applyFont="1" applyAlignment="1">
      <alignment horizontal="center"/>
    </xf>
    <xf numFmtId="43" fontId="5" fillId="0" borderId="5" xfId="15" applyFont="1" applyBorder="1" applyAlignment="1">
      <alignment/>
    </xf>
    <xf numFmtId="43" fontId="5" fillId="0" borderId="3" xfId="15" applyFont="1" applyBorder="1" applyAlignment="1">
      <alignment/>
    </xf>
    <xf numFmtId="43" fontId="5" fillId="0" borderId="0" xfId="15" applyFont="1" applyBorder="1" applyAlignment="1">
      <alignment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justify" vertical="center" wrapText="1"/>
    </xf>
    <xf numFmtId="43" fontId="4" fillId="0" borderId="1" xfId="15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43" fontId="5" fillId="0" borderId="1" xfId="15" applyFont="1" applyBorder="1" applyAlignment="1">
      <alignment horizontal="center" vertical="top"/>
    </xf>
    <xf numFmtId="43" fontId="4" fillId="0" borderId="5" xfId="15" applyFont="1" applyBorder="1" applyAlignment="1">
      <alignment horizontal="center" vertical="top"/>
    </xf>
    <xf numFmtId="43" fontId="4" fillId="0" borderId="5" xfId="15" applyFont="1" applyBorder="1" applyAlignment="1">
      <alignment vertical="top"/>
    </xf>
    <xf numFmtId="43" fontId="5" fillId="0" borderId="6" xfId="15" applyFont="1" applyBorder="1" applyAlignment="1">
      <alignment vertical="top"/>
    </xf>
    <xf numFmtId="43" fontId="5" fillId="0" borderId="3" xfId="15" applyFont="1" applyBorder="1" applyAlignment="1">
      <alignment vertical="top"/>
    </xf>
    <xf numFmtId="43" fontId="4" fillId="0" borderId="6" xfId="15" applyFont="1" applyBorder="1" applyAlignment="1">
      <alignment vertical="top" wrapText="1"/>
    </xf>
    <xf numFmtId="43" fontId="4" fillId="0" borderId="8" xfId="15" applyFont="1" applyBorder="1" applyAlignment="1">
      <alignment vertical="top"/>
    </xf>
    <xf numFmtId="43" fontId="5" fillId="0" borderId="4" xfId="15" applyFont="1" applyBorder="1" applyAlignment="1">
      <alignment vertical="top"/>
    </xf>
    <xf numFmtId="43" fontId="5" fillId="0" borderId="7" xfId="15" applyFont="1" applyBorder="1" applyAlignment="1">
      <alignment vertical="top"/>
    </xf>
    <xf numFmtId="43" fontId="5" fillId="0" borderId="0" xfId="0" applyNumberFormat="1" applyFont="1" applyAlignment="1">
      <alignment horizontal="center" vertical="top"/>
    </xf>
    <xf numFmtId="43" fontId="5" fillId="0" borderId="3" xfId="15" applyFont="1" applyBorder="1" applyAlignment="1">
      <alignment vertical="top" wrapText="1"/>
    </xf>
    <xf numFmtId="43" fontId="4" fillId="0" borderId="6" xfId="15" applyFont="1" applyBorder="1" applyAlignment="1">
      <alignment vertical="top"/>
    </xf>
    <xf numFmtId="43" fontId="5" fillId="0" borderId="6" xfId="15" applyFont="1" applyBorder="1" applyAlignment="1">
      <alignment vertical="top" wrapText="1"/>
    </xf>
    <xf numFmtId="43" fontId="5" fillId="0" borderId="4" xfId="15" applyFont="1" applyBorder="1" applyAlignment="1">
      <alignment vertical="top" wrapText="1"/>
    </xf>
    <xf numFmtId="43" fontId="4" fillId="0" borderId="8" xfId="15" applyFont="1" applyBorder="1" applyAlignment="1">
      <alignment vertical="top" wrapText="1"/>
    </xf>
    <xf numFmtId="43" fontId="5" fillId="0" borderId="6" xfId="15" applyFont="1" applyBorder="1" applyAlignment="1">
      <alignment horizontal="justify" vertical="top"/>
    </xf>
    <xf numFmtId="43" fontId="5" fillId="0" borderId="6" xfId="15" applyFont="1" applyBorder="1" applyAlignment="1">
      <alignment horizontal="center" vertical="top"/>
    </xf>
    <xf numFmtId="43" fontId="4" fillId="0" borderId="8" xfId="15" applyFont="1" applyBorder="1" applyAlignment="1">
      <alignment horizontal="center" vertical="top"/>
    </xf>
    <xf numFmtId="43" fontId="5" fillId="0" borderId="4" xfId="15" applyFont="1" applyBorder="1" applyAlignment="1">
      <alignment horizontal="center" vertical="top"/>
    </xf>
    <xf numFmtId="43" fontId="11" fillId="0" borderId="0" xfId="15" applyFont="1" applyAlignment="1">
      <alignment horizontal="center" vertical="top"/>
    </xf>
    <xf numFmtId="43" fontId="5" fillId="0" borderId="6" xfId="15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5" fillId="0" borderId="0" xfId="0" applyFont="1" applyBorder="1" applyAlignment="1">
      <alignment horizontal="right"/>
    </xf>
    <xf numFmtId="0" fontId="4" fillId="0" borderId="5" xfId="0" applyFont="1" applyBorder="1" applyAlignment="1">
      <alignment horizontal="right" vertical="top" wrapText="1"/>
    </xf>
    <xf numFmtId="0" fontId="4" fillId="0" borderId="9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4" fillId="0" borderId="17" xfId="0" applyFont="1" applyBorder="1" applyAlignment="1">
      <alignment horizontal="right" vertical="top" wrapText="1"/>
    </xf>
    <xf numFmtId="0" fontId="5" fillId="0" borderId="17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43" fontId="4" fillId="2" borderId="1" xfId="15" applyFont="1" applyFill="1" applyBorder="1" applyAlignment="1">
      <alignment horizontal="center" vertical="top"/>
    </xf>
    <xf numFmtId="0" fontId="4" fillId="2" borderId="16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left" vertical="top" wrapText="1"/>
    </xf>
    <xf numFmtId="43" fontId="4" fillId="2" borderId="5" xfId="15" applyFont="1" applyFill="1" applyBorder="1" applyAlignment="1">
      <alignment horizontal="center" vertical="top"/>
    </xf>
    <xf numFmtId="0" fontId="4" fillId="2" borderId="16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vertical="top" wrapText="1"/>
    </xf>
    <xf numFmtId="43" fontId="4" fillId="2" borderId="1" xfId="15" applyFont="1" applyFill="1" applyBorder="1" applyAlignment="1">
      <alignment horizontal="center" vertical="center"/>
    </xf>
    <xf numFmtId="43" fontId="4" fillId="2" borderId="5" xfId="15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top" wrapText="1"/>
    </xf>
    <xf numFmtId="43" fontId="4" fillId="2" borderId="5" xfId="15" applyFont="1" applyFill="1" applyBorder="1" applyAlignment="1">
      <alignment horizontal="center" vertical="top" wrapText="1"/>
    </xf>
    <xf numFmtId="43" fontId="4" fillId="0" borderId="6" xfId="15" applyFont="1" applyBorder="1" applyAlignment="1">
      <alignment/>
    </xf>
    <xf numFmtId="43" fontId="4" fillId="2" borderId="1" xfId="15" applyFont="1" applyFill="1" applyBorder="1" applyAlignment="1">
      <alignment horizontal="center" vertical="top" wrapText="1"/>
    </xf>
    <xf numFmtId="0" fontId="4" fillId="2" borderId="22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right" vertical="top" wrapText="1"/>
    </xf>
    <xf numFmtId="0" fontId="4" fillId="2" borderId="23" xfId="0" applyFont="1" applyFill="1" applyBorder="1" applyAlignment="1">
      <alignment vertical="top" wrapText="1"/>
    </xf>
    <xf numFmtId="43" fontId="4" fillId="2" borderId="1" xfId="15" applyFont="1" applyFill="1" applyBorder="1" applyAlignment="1">
      <alignment/>
    </xf>
    <xf numFmtId="0" fontId="5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43" fontId="4" fillId="2" borderId="7" xfId="15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center" vertical="top" wrapText="1"/>
    </xf>
    <xf numFmtId="43" fontId="4" fillId="2" borderId="2" xfId="15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43" fontId="4" fillId="2" borderId="2" xfId="15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center" vertical="top" wrapText="1"/>
    </xf>
    <xf numFmtId="43" fontId="4" fillId="2" borderId="5" xfId="15" applyFont="1" applyFill="1" applyBorder="1" applyAlignment="1">
      <alignment/>
    </xf>
    <xf numFmtId="0" fontId="5" fillId="0" borderId="17" xfId="0" applyFont="1" applyBorder="1" applyAlignment="1">
      <alignment horizontal="justify" vertical="top" wrapText="1"/>
    </xf>
    <xf numFmtId="0" fontId="4" fillId="2" borderId="24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168" fontId="4" fillId="2" borderId="1" xfId="15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43" fontId="5" fillId="0" borderId="25" xfId="15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43" fontId="5" fillId="0" borderId="26" xfId="15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43" fontId="5" fillId="0" borderId="27" xfId="15" applyFont="1" applyBorder="1" applyAlignment="1">
      <alignment horizontal="center" vertical="center"/>
    </xf>
    <xf numFmtId="0" fontId="4" fillId="2" borderId="28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top" wrapText="1"/>
    </xf>
    <xf numFmtId="0" fontId="4" fillId="2" borderId="29" xfId="0" applyFont="1" applyFill="1" applyBorder="1" applyAlignment="1">
      <alignment horizontal="center" vertical="top" wrapText="1"/>
    </xf>
    <xf numFmtId="0" fontId="4" fillId="2" borderId="3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168" fontId="4" fillId="2" borderId="7" xfId="15" applyNumberFormat="1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168" fontId="4" fillId="2" borderId="8" xfId="15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left"/>
    </xf>
    <xf numFmtId="0" fontId="4" fillId="2" borderId="11" xfId="0" applyFont="1" applyFill="1" applyBorder="1" applyAlignment="1">
      <alignment/>
    </xf>
    <xf numFmtId="168" fontId="4" fillId="2" borderId="13" xfId="15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/>
    </xf>
    <xf numFmtId="0" fontId="5" fillId="0" borderId="11" xfId="0" applyFont="1" applyFill="1" applyBorder="1" applyAlignment="1">
      <alignment vertical="top" wrapText="1"/>
    </xf>
    <xf numFmtId="0" fontId="1" fillId="0" borderId="0" xfId="0" applyFont="1" applyBorder="1" applyAlignment="1">
      <alignment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43" fontId="5" fillId="0" borderId="7" xfId="15" applyFont="1" applyFill="1" applyBorder="1" applyAlignment="1">
      <alignment/>
    </xf>
    <xf numFmtId="0" fontId="19" fillId="0" borderId="0" xfId="18" applyFont="1">
      <alignment/>
      <protection/>
    </xf>
    <xf numFmtId="0" fontId="21" fillId="0" borderId="1" xfId="18" applyFont="1" applyBorder="1" applyAlignment="1">
      <alignment horizontal="center" vertical="center"/>
      <protection/>
    </xf>
    <xf numFmtId="0" fontId="20" fillId="0" borderId="0" xfId="18" applyFont="1">
      <alignment/>
      <protection/>
    </xf>
    <xf numFmtId="0" fontId="19" fillId="0" borderId="31" xfId="18" applyFont="1" applyBorder="1" applyAlignment="1">
      <alignment horizontal="center"/>
      <protection/>
    </xf>
    <xf numFmtId="0" fontId="19" fillId="0" borderId="0" xfId="18" applyFont="1" applyAlignment="1">
      <alignment horizontal="center"/>
      <protection/>
    </xf>
    <xf numFmtId="0" fontId="17" fillId="0" borderId="12" xfId="18" applyFont="1" applyBorder="1" applyAlignment="1">
      <alignment horizontal="center" wrapText="1"/>
      <protection/>
    </xf>
    <xf numFmtId="43" fontId="19" fillId="0" borderId="31" xfId="15" applyFont="1" applyBorder="1" applyAlignment="1">
      <alignment/>
    </xf>
    <xf numFmtId="0" fontId="20" fillId="2" borderId="1" xfId="18" applyFont="1" applyFill="1" applyBorder="1" applyAlignment="1">
      <alignment horizontal="center" vertical="center"/>
      <protection/>
    </xf>
    <xf numFmtId="0" fontId="19" fillId="3" borderId="26" xfId="18" applyFont="1" applyFill="1" applyBorder="1" applyAlignment="1">
      <alignment wrapText="1"/>
      <protection/>
    </xf>
    <xf numFmtId="43" fontId="5" fillId="0" borderId="0" xfId="0" applyNumberFormat="1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22" fillId="0" borderId="1" xfId="0" applyFont="1" applyBorder="1" applyAlignment="1">
      <alignment horizontal="center" wrapText="1"/>
    </xf>
    <xf numFmtId="0" fontId="22" fillId="0" borderId="0" xfId="0" applyFont="1" applyAlignment="1">
      <alignment/>
    </xf>
    <xf numFmtId="0" fontId="23" fillId="2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3" fillId="0" borderId="1" xfId="0" applyFont="1" applyBorder="1" applyAlignment="1">
      <alignment horizontal="left" wrapText="1"/>
    </xf>
    <xf numFmtId="168" fontId="23" fillId="0" borderId="0" xfId="15" applyNumberFormat="1" applyFont="1" applyAlignment="1">
      <alignment/>
    </xf>
    <xf numFmtId="0" fontId="19" fillId="0" borderId="0" xfId="18" applyFont="1" applyAlignment="1">
      <alignment/>
      <protection/>
    </xf>
    <xf numFmtId="0" fontId="17" fillId="0" borderId="12" xfId="18" applyFont="1" applyBorder="1" applyAlignment="1">
      <alignment wrapText="1"/>
      <protection/>
    </xf>
    <xf numFmtId="0" fontId="21" fillId="0" borderId="1" xfId="18" applyFont="1" applyBorder="1" applyAlignment="1">
      <alignment vertical="center"/>
      <protection/>
    </xf>
    <xf numFmtId="0" fontId="19" fillId="3" borderId="27" xfId="18" applyFont="1" applyFill="1" applyBorder="1" applyAlignment="1">
      <alignment/>
      <protection/>
    </xf>
    <xf numFmtId="0" fontId="19" fillId="3" borderId="26" xfId="18" applyFont="1" applyFill="1" applyBorder="1" applyAlignment="1">
      <alignment/>
      <protection/>
    </xf>
    <xf numFmtId="0" fontId="19" fillId="3" borderId="31" xfId="18" applyFont="1" applyFill="1" applyBorder="1" applyAlignment="1">
      <alignment/>
      <protection/>
    </xf>
    <xf numFmtId="0" fontId="5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3" fontId="4" fillId="0" borderId="4" xfId="15" applyFont="1" applyBorder="1" applyAlignment="1">
      <alignment vertical="top"/>
    </xf>
    <xf numFmtId="168" fontId="4" fillId="2" borderId="5" xfId="15" applyNumberFormat="1" applyFont="1" applyFill="1" applyBorder="1" applyAlignment="1">
      <alignment horizontal="center"/>
    </xf>
    <xf numFmtId="0" fontId="4" fillId="0" borderId="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/>
    </xf>
    <xf numFmtId="43" fontId="5" fillId="0" borderId="7" xfId="15" applyFont="1" applyFill="1" applyBorder="1" applyAlignment="1">
      <alignment vertical="top" wrapText="1"/>
    </xf>
    <xf numFmtId="43" fontId="4" fillId="2" borderId="1" xfId="15" applyFont="1" applyFill="1" applyBorder="1" applyAlignment="1">
      <alignment horizontal="center"/>
    </xf>
    <xf numFmtId="43" fontId="5" fillId="0" borderId="0" xfId="15" applyFont="1" applyBorder="1" applyAlignment="1">
      <alignment vertical="top"/>
    </xf>
    <xf numFmtId="43" fontId="5" fillId="0" borderId="0" xfId="15" applyFont="1" applyBorder="1" applyAlignment="1">
      <alignment vertical="top" wrapText="1"/>
    </xf>
    <xf numFmtId="43" fontId="5" fillId="0" borderId="0" xfId="15" applyFont="1" applyFill="1" applyBorder="1" applyAlignment="1">
      <alignment vertical="top" wrapText="1"/>
    </xf>
    <xf numFmtId="43" fontId="4" fillId="0" borderId="13" xfId="15" applyFont="1" applyBorder="1" applyAlignment="1">
      <alignment vertical="top"/>
    </xf>
    <xf numFmtId="43" fontId="5" fillId="0" borderId="12" xfId="15" applyFont="1" applyBorder="1" applyAlignment="1">
      <alignment vertical="top"/>
    </xf>
    <xf numFmtId="43" fontId="5" fillId="0" borderId="7" xfId="15" applyFont="1" applyBorder="1" applyAlignment="1">
      <alignment horizontal="center" vertical="top"/>
    </xf>
    <xf numFmtId="0" fontId="4" fillId="2" borderId="24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43" fontId="4" fillId="2" borderId="1" xfId="0" applyNumberFormat="1" applyFont="1" applyFill="1" applyBorder="1" applyAlignment="1">
      <alignment/>
    </xf>
    <xf numFmtId="43" fontId="5" fillId="0" borderId="3" xfId="15" applyFont="1" applyBorder="1" applyAlignment="1">
      <alignment horizontal="center" vertical="top"/>
    </xf>
    <xf numFmtId="43" fontId="4" fillId="0" borderId="9" xfId="15" applyFont="1" applyBorder="1" applyAlignment="1">
      <alignment vertical="top"/>
    </xf>
    <xf numFmtId="43" fontId="5" fillId="0" borderId="10" xfId="15" applyFont="1" applyBorder="1" applyAlignment="1">
      <alignment vertical="top" wrapText="1"/>
    </xf>
    <xf numFmtId="43" fontId="5" fillId="0" borderId="11" xfId="15" applyFont="1" applyBorder="1" applyAlignment="1">
      <alignment vertical="top" wrapText="1"/>
    </xf>
    <xf numFmtId="43" fontId="5" fillId="0" borderId="10" xfId="15" applyFont="1" applyFill="1" applyBorder="1" applyAlignment="1">
      <alignment vertical="top"/>
    </xf>
    <xf numFmtId="43" fontId="5" fillId="0" borderId="10" xfId="15" applyFont="1" applyBorder="1" applyAlignment="1">
      <alignment vertical="top"/>
    </xf>
    <xf numFmtId="43" fontId="5" fillId="0" borderId="10" xfId="15" applyFont="1" applyFill="1" applyBorder="1" applyAlignment="1">
      <alignment vertical="top" wrapText="1"/>
    </xf>
    <xf numFmtId="43" fontId="5" fillId="0" borderId="12" xfId="15" applyFont="1" applyBorder="1" applyAlignment="1">
      <alignment vertical="top" wrapText="1"/>
    </xf>
    <xf numFmtId="43" fontId="4" fillId="0" borderId="10" xfId="15" applyFont="1" applyBorder="1" applyAlignment="1">
      <alignment vertical="top"/>
    </xf>
    <xf numFmtId="43" fontId="4" fillId="0" borderId="9" xfId="15" applyFont="1" applyBorder="1" applyAlignment="1">
      <alignment horizontal="center" vertical="top"/>
    </xf>
    <xf numFmtId="43" fontId="5" fillId="0" borderId="10" xfId="15" applyFont="1" applyBorder="1" applyAlignment="1">
      <alignment horizontal="center" vertical="top"/>
    </xf>
    <xf numFmtId="43" fontId="5" fillId="0" borderId="9" xfId="15" applyFont="1" applyBorder="1" applyAlignment="1">
      <alignment horizontal="center" vertical="top"/>
    </xf>
    <xf numFmtId="43" fontId="4" fillId="0" borderId="13" xfId="15" applyFont="1" applyBorder="1" applyAlignment="1">
      <alignment horizontal="center" vertical="top"/>
    </xf>
    <xf numFmtId="43" fontId="5" fillId="0" borderId="0" xfId="15" applyFont="1" applyBorder="1" applyAlignment="1">
      <alignment horizontal="center" vertical="top"/>
    </xf>
    <xf numFmtId="43" fontId="4" fillId="2" borderId="24" xfId="15" applyFont="1" applyFill="1" applyBorder="1" applyAlignment="1">
      <alignment horizontal="center" vertical="top"/>
    </xf>
    <xf numFmtId="0" fontId="12" fillId="2" borderId="1" xfId="0" applyFont="1" applyFill="1" applyBorder="1" applyAlignment="1">
      <alignment/>
    </xf>
    <xf numFmtId="43" fontId="5" fillId="2" borderId="1" xfId="15" applyFont="1" applyFill="1" applyBorder="1" applyAlignment="1">
      <alignment/>
    </xf>
    <xf numFmtId="43" fontId="0" fillId="0" borderId="0" xfId="0" applyNumberFormat="1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top" wrapText="1"/>
    </xf>
    <xf numFmtId="43" fontId="4" fillId="0" borderId="8" xfId="15" applyFont="1" applyFill="1" applyBorder="1" applyAlignment="1">
      <alignment horizontal="center" vertical="top"/>
    </xf>
    <xf numFmtId="0" fontId="24" fillId="0" borderId="11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top" wrapText="1"/>
    </xf>
    <xf numFmtId="43" fontId="4" fillId="0" borderId="0" xfId="15" applyFont="1" applyAlignment="1">
      <alignment/>
    </xf>
    <xf numFmtId="43" fontId="5" fillId="0" borderId="7" xfId="15" applyFont="1" applyFill="1" applyBorder="1" applyAlignment="1">
      <alignment horizontal="center" vertical="top"/>
    </xf>
    <xf numFmtId="43" fontId="4" fillId="2" borderId="1" xfId="15" applyNumberFormat="1" applyFont="1" applyFill="1" applyBorder="1" applyAlignment="1">
      <alignment horizontal="center" vertical="top"/>
    </xf>
    <xf numFmtId="43" fontId="0" fillId="0" borderId="0" xfId="0" applyNumberFormat="1" applyFont="1" applyAlignment="1">
      <alignment horizontal="right"/>
    </xf>
    <xf numFmtId="43" fontId="13" fillId="0" borderId="0" xfId="15" applyNumberFormat="1" applyFont="1" applyAlignment="1">
      <alignment horizontal="right" vertical="top"/>
    </xf>
    <xf numFmtId="43" fontId="5" fillId="0" borderId="6" xfId="15" applyNumberFormat="1" applyFont="1" applyFill="1" applyBorder="1" applyAlignment="1">
      <alignment horizontal="right" vertical="top"/>
    </xf>
    <xf numFmtId="43" fontId="5" fillId="0" borderId="6" xfId="15" applyNumberFormat="1" applyFont="1" applyFill="1" applyBorder="1" applyAlignment="1">
      <alignment vertical="top" wrapText="1"/>
    </xf>
    <xf numFmtId="43" fontId="5" fillId="0" borderId="4" xfId="15" applyNumberFormat="1" applyFont="1" applyFill="1" applyBorder="1" applyAlignment="1">
      <alignment vertical="top" wrapText="1"/>
    </xf>
    <xf numFmtId="0" fontId="5" fillId="0" borderId="32" xfId="0" applyFont="1" applyBorder="1" applyAlignment="1">
      <alignment vertical="top" wrapText="1"/>
    </xf>
    <xf numFmtId="43" fontId="5" fillId="0" borderId="8" xfId="15" applyFont="1" applyBorder="1" applyAlignment="1">
      <alignment horizontal="center"/>
    </xf>
    <xf numFmtId="43" fontId="6" fillId="0" borderId="4" xfId="15" applyFont="1" applyBorder="1" applyAlignment="1">
      <alignment horizontal="center"/>
    </xf>
    <xf numFmtId="43" fontId="5" fillId="0" borderId="7" xfId="15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9" fillId="2" borderId="2" xfId="0" applyFont="1" applyFill="1" applyBorder="1" applyAlignment="1">
      <alignment/>
    </xf>
    <xf numFmtId="0" fontId="4" fillId="2" borderId="15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  <xf numFmtId="43" fontId="4" fillId="2" borderId="3" xfId="15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/>
    </xf>
    <xf numFmtId="43" fontId="0" fillId="0" borderId="0" xfId="15" applyAlignment="1">
      <alignment/>
    </xf>
    <xf numFmtId="44" fontId="5" fillId="0" borderId="0" xfId="15" applyNumberFormat="1" applyFont="1" applyAlignment="1">
      <alignment/>
    </xf>
    <xf numFmtId="43" fontId="5" fillId="0" borderId="1" xfId="15" applyFont="1" applyBorder="1" applyAlignment="1">
      <alignment/>
    </xf>
    <xf numFmtId="44" fontId="5" fillId="0" borderId="1" xfId="15" applyNumberFormat="1" applyFont="1" applyBorder="1" applyAlignment="1">
      <alignment/>
    </xf>
    <xf numFmtId="43" fontId="5" fillId="0" borderId="1" xfId="15" applyFont="1" applyBorder="1" applyAlignment="1">
      <alignment horizontal="center"/>
    </xf>
    <xf numFmtId="44" fontId="5" fillId="0" borderId="1" xfId="15" applyNumberFormat="1" applyFont="1" applyBorder="1" applyAlignment="1">
      <alignment horizontal="center"/>
    </xf>
    <xf numFmtId="44" fontId="5" fillId="0" borderId="5" xfId="15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44" fontId="4" fillId="0" borderId="0" xfId="15" applyNumberFormat="1" applyFont="1" applyAlignment="1">
      <alignment/>
    </xf>
    <xf numFmtId="0" fontId="5" fillId="0" borderId="0" xfId="0" applyFont="1" applyFill="1" applyBorder="1" applyAlignment="1">
      <alignment vertical="top" wrapText="1"/>
    </xf>
    <xf numFmtId="44" fontId="5" fillId="0" borderId="0" xfId="15" applyNumberFormat="1" applyFont="1" applyAlignment="1">
      <alignment horizontal="center"/>
    </xf>
    <xf numFmtId="43" fontId="4" fillId="2" borderId="3" xfId="15" applyFont="1" applyFill="1" applyBorder="1" applyAlignment="1">
      <alignment/>
    </xf>
    <xf numFmtId="43" fontId="1" fillId="0" borderId="0" xfId="15" applyFont="1" applyAlignment="1">
      <alignment/>
    </xf>
    <xf numFmtId="40" fontId="5" fillId="0" borderId="0" xfId="0" applyNumberFormat="1" applyFont="1" applyAlignment="1">
      <alignment vertical="top"/>
    </xf>
    <xf numFmtId="43" fontId="4" fillId="0" borderId="3" xfId="15" applyFont="1" applyBorder="1" applyAlignment="1">
      <alignment/>
    </xf>
    <xf numFmtId="40" fontId="5" fillId="0" borderId="0" xfId="0" applyNumberFormat="1" applyFont="1" applyAlignment="1">
      <alignment horizontal="right"/>
    </xf>
    <xf numFmtId="40" fontId="5" fillId="0" borderId="5" xfId="15" applyNumberFormat="1" applyFont="1" applyBorder="1" applyAlignment="1">
      <alignment horizontal="right"/>
    </xf>
    <xf numFmtId="40" fontId="5" fillId="0" borderId="8" xfId="0" applyNumberFormat="1" applyFont="1" applyBorder="1" applyAlignment="1">
      <alignment horizontal="right"/>
    </xf>
    <xf numFmtId="40" fontId="5" fillId="0" borderId="6" xfId="15" applyNumberFormat="1" applyFont="1" applyBorder="1" applyAlignment="1">
      <alignment horizontal="right"/>
    </xf>
    <xf numFmtId="40" fontId="5" fillId="0" borderId="4" xfId="0" applyNumberFormat="1" applyFont="1" applyBorder="1" applyAlignment="1">
      <alignment horizontal="right"/>
    </xf>
    <xf numFmtId="40" fontId="5" fillId="0" borderId="3" xfId="15" applyNumberFormat="1" applyFont="1" applyBorder="1" applyAlignment="1">
      <alignment horizontal="right"/>
    </xf>
    <xf numFmtId="40" fontId="5" fillId="0" borderId="7" xfId="0" applyNumberFormat="1" applyFont="1" applyBorder="1" applyAlignment="1">
      <alignment horizontal="right"/>
    </xf>
    <xf numFmtId="43" fontId="5" fillId="0" borderId="0" xfId="15" applyFont="1" applyAlignment="1">
      <alignment horizontal="right"/>
    </xf>
    <xf numFmtId="168" fontId="5" fillId="0" borderId="0" xfId="15" applyNumberFormat="1" applyFont="1" applyAlignment="1">
      <alignment horizontal="right"/>
    </xf>
    <xf numFmtId="43" fontId="4" fillId="0" borderId="5" xfId="15" applyFont="1" applyBorder="1" applyAlignment="1">
      <alignment horizontal="right" vertical="top"/>
    </xf>
    <xf numFmtId="43" fontId="5" fillId="0" borderId="6" xfId="15" applyFont="1" applyBorder="1" applyAlignment="1">
      <alignment horizontal="right" vertical="top"/>
    </xf>
    <xf numFmtId="43" fontId="5" fillId="0" borderId="6" xfId="0" applyNumberFormat="1" applyFont="1" applyBorder="1" applyAlignment="1">
      <alignment horizontal="right"/>
    </xf>
    <xf numFmtId="43" fontId="5" fillId="0" borderId="3" xfId="15" applyFont="1" applyBorder="1" applyAlignment="1">
      <alignment horizontal="right" vertical="top"/>
    </xf>
    <xf numFmtId="43" fontId="5" fillId="0" borderId="3" xfId="0" applyNumberFormat="1" applyFont="1" applyBorder="1" applyAlignment="1">
      <alignment horizontal="right"/>
    </xf>
    <xf numFmtId="175" fontId="5" fillId="0" borderId="0" xfId="15" applyNumberFormat="1" applyFont="1" applyAlignment="1">
      <alignment horizontal="right"/>
    </xf>
    <xf numFmtId="175" fontId="5" fillId="0" borderId="0" xfId="0" applyNumberFormat="1" applyFont="1" applyAlignment="1">
      <alignment horizontal="right"/>
    </xf>
    <xf numFmtId="43" fontId="5" fillId="0" borderId="0" xfId="0" applyNumberFormat="1" applyFont="1" applyAlignment="1">
      <alignment horizontal="right"/>
    </xf>
    <xf numFmtId="43" fontId="11" fillId="0" borderId="0" xfId="15" applyNumberFormat="1" applyFont="1" applyAlignment="1">
      <alignment horizontal="center" vertical="top"/>
    </xf>
    <xf numFmtId="168" fontId="5" fillId="0" borderId="1" xfId="15" applyNumberFormat="1" applyFont="1" applyBorder="1" applyAlignment="1">
      <alignment horizontal="center"/>
    </xf>
    <xf numFmtId="43" fontId="5" fillId="0" borderId="1" xfId="0" applyNumberFormat="1" applyFont="1" applyBorder="1" applyAlignment="1">
      <alignment horizontal="left"/>
    </xf>
    <xf numFmtId="168" fontId="0" fillId="0" borderId="0" xfId="15" applyNumberFormat="1" applyFont="1" applyAlignment="1">
      <alignment horizontal="center"/>
    </xf>
    <xf numFmtId="43" fontId="4" fillId="0" borderId="0" xfId="15" applyFont="1" applyAlignment="1">
      <alignment horizontal="right"/>
    </xf>
    <xf numFmtId="43" fontId="4" fillId="0" borderId="0" xfId="0" applyNumberFormat="1" applyFont="1" applyAlignment="1">
      <alignment horizontal="right"/>
    </xf>
    <xf numFmtId="43" fontId="5" fillId="0" borderId="0" xfId="15" applyFont="1" applyBorder="1" applyAlignment="1">
      <alignment horizontal="right"/>
    </xf>
    <xf numFmtId="43" fontId="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43" fontId="4" fillId="0" borderId="0" xfId="15" applyFont="1" applyBorder="1" applyAlignment="1">
      <alignment horizontal="right"/>
    </xf>
    <xf numFmtId="43" fontId="4" fillId="0" borderId="0" xfId="0" applyNumberFormat="1" applyFont="1" applyBorder="1" applyAlignment="1">
      <alignment horizontal="right"/>
    </xf>
    <xf numFmtId="43" fontId="4" fillId="0" borderId="0" xfId="0" applyNumberFormat="1" applyFont="1" applyBorder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3" fontId="1" fillId="0" borderId="0" xfId="0" applyNumberFormat="1" applyFont="1" applyAlignment="1">
      <alignment/>
    </xf>
    <xf numFmtId="0" fontId="5" fillId="0" borderId="9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right" vertical="top" wrapText="1"/>
    </xf>
    <xf numFmtId="49" fontId="5" fillId="0" borderId="11" xfId="0" applyNumberFormat="1" applyFont="1" applyFill="1" applyBorder="1" applyAlignment="1">
      <alignment horizontal="right" vertical="top" wrapText="1"/>
    </xf>
    <xf numFmtId="43" fontId="5" fillId="0" borderId="3" xfId="15" applyNumberFormat="1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horizontal="right" vertical="top" wrapText="1"/>
    </xf>
    <xf numFmtId="0" fontId="4" fillId="0" borderId="17" xfId="0" applyFont="1" applyFill="1" applyBorder="1" applyAlignment="1">
      <alignment vertical="top" wrapText="1"/>
    </xf>
    <xf numFmtId="43" fontId="4" fillId="0" borderId="6" xfId="15" applyNumberFormat="1" applyFont="1" applyFill="1" applyBorder="1" applyAlignment="1">
      <alignment horizontal="right" vertical="top"/>
    </xf>
    <xf numFmtId="49" fontId="5" fillId="0" borderId="14" xfId="0" applyNumberFormat="1" applyFont="1" applyFill="1" applyBorder="1" applyAlignment="1">
      <alignment horizontal="right" vertical="top" wrapText="1"/>
    </xf>
    <xf numFmtId="0" fontId="5" fillId="0" borderId="17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43" fontId="4" fillId="0" borderId="5" xfId="15" applyNumberFormat="1" applyFont="1" applyFill="1" applyBorder="1" applyAlignment="1">
      <alignment horizontal="right" vertical="top"/>
    </xf>
    <xf numFmtId="0" fontId="4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6" xfId="0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43" fontId="4" fillId="0" borderId="8" xfId="15" applyNumberFormat="1" applyFont="1" applyFill="1" applyBorder="1" applyAlignment="1">
      <alignment horizontal="right" vertical="top"/>
    </xf>
    <xf numFmtId="43" fontId="5" fillId="0" borderId="4" xfId="15" applyNumberFormat="1" applyFont="1" applyFill="1" applyBorder="1" applyAlignment="1">
      <alignment horizontal="right" vertical="top"/>
    </xf>
    <xf numFmtId="0" fontId="5" fillId="0" borderId="5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43" fontId="4" fillId="0" borderId="4" xfId="15" applyNumberFormat="1" applyFont="1" applyFill="1" applyBorder="1" applyAlignment="1">
      <alignment vertical="top" wrapText="1"/>
    </xf>
    <xf numFmtId="43" fontId="5" fillId="0" borderId="7" xfId="15" applyNumberFormat="1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righ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/>
    </xf>
    <xf numFmtId="0" fontId="5" fillId="0" borderId="6" xfId="0" applyFont="1" applyFill="1" applyBorder="1" applyAlignment="1">
      <alignment wrapText="1"/>
    </xf>
    <xf numFmtId="43" fontId="5" fillId="0" borderId="4" xfId="15" applyNumberFormat="1" applyFont="1" applyFill="1" applyBorder="1" applyAlignment="1">
      <alignment vertical="top"/>
    </xf>
    <xf numFmtId="0" fontId="4" fillId="0" borderId="16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3" fontId="5" fillId="0" borderId="4" xfId="15" applyFont="1" applyFill="1" applyBorder="1" applyAlignment="1">
      <alignment vertical="top" wrapText="1"/>
    </xf>
    <xf numFmtId="0" fontId="5" fillId="0" borderId="6" xfId="0" applyFont="1" applyBorder="1" applyAlignment="1">
      <alignment/>
    </xf>
    <xf numFmtId="43" fontId="16" fillId="0" borderId="4" xfId="15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vertical="top" wrapText="1"/>
    </xf>
    <xf numFmtId="0" fontId="16" fillId="3" borderId="6" xfId="0" applyFont="1" applyFill="1" applyBorder="1" applyAlignment="1">
      <alignment horizontal="left" vertical="top" wrapText="1"/>
    </xf>
    <xf numFmtId="43" fontId="16" fillId="0" borderId="4" xfId="15" applyFont="1" applyFill="1" applyBorder="1" applyAlignment="1">
      <alignment vertical="top" wrapText="1"/>
    </xf>
    <xf numFmtId="0" fontId="26" fillId="0" borderId="0" xfId="0" applyFont="1" applyAlignment="1">
      <alignment/>
    </xf>
    <xf numFmtId="0" fontId="16" fillId="3" borderId="6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43" fontId="5" fillId="0" borderId="7" xfId="15" applyNumberFormat="1" applyFont="1" applyFill="1" applyBorder="1" applyAlignment="1">
      <alignment horizontal="right" vertical="top"/>
    </xf>
    <xf numFmtId="43" fontId="5" fillId="0" borderId="6" xfId="15" applyNumberFormat="1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43" fontId="4" fillId="0" borderId="1" xfId="15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/>
    </xf>
    <xf numFmtId="43" fontId="11" fillId="0" borderId="0" xfId="15" applyNumberFormat="1" applyFont="1" applyFill="1" applyAlignment="1">
      <alignment horizontal="right" vertical="top"/>
    </xf>
    <xf numFmtId="43" fontId="25" fillId="0" borderId="0" xfId="15" applyNumberFormat="1" applyFont="1" applyFill="1" applyAlignment="1">
      <alignment horizontal="right" vertical="top"/>
    </xf>
    <xf numFmtId="43" fontId="16" fillId="0" borderId="7" xfId="15" applyNumberFormat="1" applyFont="1" applyFill="1" applyBorder="1" applyAlignment="1">
      <alignment vertical="top" wrapText="1"/>
    </xf>
    <xf numFmtId="0" fontId="16" fillId="3" borderId="6" xfId="0" applyFont="1" applyFill="1" applyBorder="1" applyAlignment="1">
      <alignment vertical="top" wrapText="1"/>
    </xf>
    <xf numFmtId="0" fontId="16" fillId="3" borderId="3" xfId="0" applyFont="1" applyFill="1" applyBorder="1" applyAlignment="1">
      <alignment vertical="top" wrapText="1"/>
    </xf>
    <xf numFmtId="168" fontId="5" fillId="0" borderId="1" xfId="15" applyNumberFormat="1" applyFont="1" applyFill="1" applyBorder="1" applyAlignment="1">
      <alignment/>
    </xf>
    <xf numFmtId="43" fontId="5" fillId="0" borderId="1" xfId="15" applyFont="1" applyBorder="1" applyAlignment="1">
      <alignment/>
    </xf>
    <xf numFmtId="43" fontId="4" fillId="2" borderId="1" xfId="15" applyFont="1" applyFill="1" applyBorder="1" applyAlignment="1">
      <alignment/>
    </xf>
    <xf numFmtId="43" fontId="5" fillId="0" borderId="7" xfId="15" applyFont="1" applyFill="1" applyBorder="1" applyAlignment="1" applyProtection="1">
      <alignment horizontal="center" vertical="top" wrapText="1"/>
      <protection/>
    </xf>
    <xf numFmtId="43" fontId="5" fillId="0" borderId="7" xfId="15" applyFont="1" applyFill="1" applyBorder="1" applyAlignment="1">
      <alignment horizontal="center" vertical="top" wrapText="1"/>
    </xf>
    <xf numFmtId="43" fontId="5" fillId="0" borderId="4" xfId="15" applyFont="1" applyFill="1" applyBorder="1" applyAlignment="1">
      <alignment horizontal="center" vertical="top" wrapText="1"/>
    </xf>
    <xf numFmtId="43" fontId="5" fillId="0" borderId="1" xfId="15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5" fillId="0" borderId="4" xfId="15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43" fontId="5" fillId="0" borderId="7" xfId="15" applyFont="1" applyFill="1" applyBorder="1" applyAlignment="1">
      <alignment horizontal="center" vertical="center"/>
    </xf>
    <xf numFmtId="43" fontId="13" fillId="0" borderId="0" xfId="15" applyNumberFormat="1" applyFont="1" applyAlignment="1">
      <alignment vertical="top"/>
    </xf>
    <xf numFmtId="43" fontId="4" fillId="2" borderId="1" xfId="15" applyNumberFormat="1" applyFont="1" applyFill="1" applyBorder="1" applyAlignment="1">
      <alignment vertical="top"/>
    </xf>
    <xf numFmtId="43" fontId="4" fillId="0" borderId="5" xfId="15" applyNumberFormat="1" applyFont="1" applyBorder="1" applyAlignment="1">
      <alignment vertical="top"/>
    </xf>
    <xf numFmtId="43" fontId="4" fillId="0" borderId="6" xfId="15" applyNumberFormat="1" applyFont="1" applyFill="1" applyBorder="1" applyAlignment="1">
      <alignment vertical="top"/>
    </xf>
    <xf numFmtId="43" fontId="4" fillId="0" borderId="5" xfId="15" applyNumberFormat="1" applyFont="1" applyFill="1" applyBorder="1" applyAlignment="1">
      <alignment vertical="top"/>
    </xf>
    <xf numFmtId="43" fontId="4" fillId="0" borderId="8" xfId="15" applyNumberFormat="1" applyFont="1" applyFill="1" applyBorder="1" applyAlignment="1">
      <alignment vertical="top"/>
    </xf>
    <xf numFmtId="43" fontId="11" fillId="0" borderId="0" xfId="15" applyNumberFormat="1" applyFont="1" applyAlignment="1">
      <alignment vertical="top"/>
    </xf>
    <xf numFmtId="43" fontId="27" fillId="0" borderId="0" xfId="0" applyNumberFormat="1" applyFont="1" applyAlignment="1">
      <alignment horizontal="right"/>
    </xf>
    <xf numFmtId="43" fontId="28" fillId="0" borderId="0" xfId="15" applyNumberFormat="1" applyFont="1" applyAlignment="1">
      <alignment horizontal="right" vertical="top"/>
    </xf>
    <xf numFmtId="43" fontId="28" fillId="2" borderId="1" xfId="15" applyNumberFormat="1" applyFont="1" applyFill="1" applyBorder="1" applyAlignment="1">
      <alignment horizontal="center" vertical="top"/>
    </xf>
    <xf numFmtId="43" fontId="28" fillId="0" borderId="5" xfId="15" applyNumberFormat="1" applyFont="1" applyBorder="1" applyAlignment="1">
      <alignment horizontal="right" vertical="top"/>
    </xf>
    <xf numFmtId="43" fontId="29" fillId="0" borderId="6" xfId="15" applyNumberFormat="1" applyFont="1" applyFill="1" applyBorder="1" applyAlignment="1">
      <alignment horizontal="right" vertical="top"/>
    </xf>
    <xf numFmtId="43" fontId="29" fillId="0" borderId="3" xfId="15" applyNumberFormat="1" applyFont="1" applyFill="1" applyBorder="1" applyAlignment="1">
      <alignment vertical="top" wrapText="1"/>
    </xf>
    <xf numFmtId="43" fontId="28" fillId="0" borderId="6" xfId="15" applyNumberFormat="1" applyFont="1" applyFill="1" applyBorder="1" applyAlignment="1">
      <alignment horizontal="right" vertical="top"/>
    </xf>
    <xf numFmtId="43" fontId="29" fillId="0" borderId="6" xfId="15" applyNumberFormat="1" applyFont="1" applyFill="1" applyBorder="1" applyAlignment="1">
      <alignment vertical="top" wrapText="1"/>
    </xf>
    <xf numFmtId="43" fontId="28" fillId="0" borderId="5" xfId="15" applyNumberFormat="1" applyFont="1" applyFill="1" applyBorder="1" applyAlignment="1">
      <alignment horizontal="right" vertical="top"/>
    </xf>
    <xf numFmtId="43" fontId="28" fillId="0" borderId="8" xfId="15" applyNumberFormat="1" applyFont="1" applyFill="1" applyBorder="1" applyAlignment="1">
      <alignment horizontal="right" vertical="top"/>
    </xf>
    <xf numFmtId="43" fontId="29" fillId="0" borderId="4" xfId="15" applyNumberFormat="1" applyFont="1" applyFill="1" applyBorder="1" applyAlignment="1">
      <alignment vertical="top" wrapText="1"/>
    </xf>
    <xf numFmtId="43" fontId="29" fillId="0" borderId="7" xfId="15" applyNumberFormat="1" applyFont="1" applyFill="1" applyBorder="1" applyAlignment="1">
      <alignment vertical="top" wrapText="1"/>
    </xf>
    <xf numFmtId="43" fontId="29" fillId="0" borderId="4" xfId="15" applyNumberFormat="1" applyFont="1" applyFill="1" applyBorder="1" applyAlignment="1">
      <alignment horizontal="right" vertical="top"/>
    </xf>
    <xf numFmtId="43" fontId="28" fillId="0" borderId="4" xfId="15" applyNumberFormat="1" applyFont="1" applyFill="1" applyBorder="1" applyAlignment="1">
      <alignment vertical="top" wrapText="1"/>
    </xf>
    <xf numFmtId="43" fontId="29" fillId="0" borderId="4" xfId="15" applyNumberFormat="1" applyFont="1" applyFill="1" applyBorder="1" applyAlignment="1">
      <alignment vertical="top"/>
    </xf>
    <xf numFmtId="43" fontId="28" fillId="2" borderId="1" xfId="15" applyNumberFormat="1" applyFont="1" applyFill="1" applyBorder="1" applyAlignment="1">
      <alignment horizontal="right" vertical="top"/>
    </xf>
    <xf numFmtId="43" fontId="29" fillId="0" borderId="0" xfId="15" applyNumberFormat="1" applyFont="1" applyAlignment="1">
      <alignment horizontal="right" vertical="top"/>
    </xf>
    <xf numFmtId="43" fontId="29" fillId="0" borderId="0" xfId="15" applyNumberFormat="1" applyFont="1" applyBorder="1" applyAlignment="1">
      <alignment horizontal="right" vertical="top"/>
    </xf>
    <xf numFmtId="43" fontId="29" fillId="0" borderId="0" xfId="15" applyNumberFormat="1" applyFont="1" applyBorder="1" applyAlignment="1">
      <alignment horizontal="center" vertical="top"/>
    </xf>
    <xf numFmtId="43" fontId="0" fillId="0" borderId="0" xfId="0" applyNumberFormat="1" applyFont="1" applyAlignment="1">
      <alignment vertical="top"/>
    </xf>
    <xf numFmtId="168" fontId="22" fillId="0" borderId="1" xfId="15" applyNumberFormat="1" applyFont="1" applyBorder="1" applyAlignment="1">
      <alignment vertical="center" wrapText="1"/>
    </xf>
    <xf numFmtId="168" fontId="22" fillId="0" borderId="1" xfId="15" applyNumberFormat="1" applyFont="1" applyBorder="1" applyAlignment="1">
      <alignment/>
    </xf>
    <xf numFmtId="168" fontId="22" fillId="0" borderId="1" xfId="15" applyNumberFormat="1" applyFont="1" applyBorder="1" applyAlignment="1">
      <alignment vertical="top" wrapText="1"/>
    </xf>
    <xf numFmtId="168" fontId="23" fillId="0" borderId="1" xfId="15" applyNumberFormat="1" applyFont="1" applyBorder="1" applyAlignment="1">
      <alignment vertical="top" wrapText="1"/>
    </xf>
    <xf numFmtId="167" fontId="22" fillId="0" borderId="1" xfId="15" applyNumberFormat="1" applyFont="1" applyBorder="1" applyAlignment="1">
      <alignment vertical="top" wrapText="1"/>
    </xf>
    <xf numFmtId="168" fontId="5" fillId="0" borderId="0" xfId="0" applyNumberFormat="1" applyFont="1" applyAlignment="1">
      <alignment shrinkToFit="1"/>
    </xf>
    <xf numFmtId="43" fontId="5" fillId="0" borderId="8" xfId="15" applyFont="1" applyFill="1" applyBorder="1" applyAlignment="1">
      <alignment horizontal="center" vertical="top" wrapText="1"/>
    </xf>
    <xf numFmtId="43" fontId="5" fillId="0" borderId="6" xfId="15" applyFont="1" applyFill="1" applyBorder="1" applyAlignment="1">
      <alignment horizontal="center" vertical="top" wrapText="1"/>
    </xf>
    <xf numFmtId="43" fontId="5" fillId="0" borderId="3" xfId="15" applyFont="1" applyFill="1" applyBorder="1" applyAlignment="1">
      <alignment horizontal="center" vertical="top" wrapText="1"/>
    </xf>
    <xf numFmtId="43" fontId="30" fillId="0" borderId="0" xfId="15" applyFont="1" applyAlignment="1">
      <alignment horizontal="center"/>
    </xf>
    <xf numFmtId="43" fontId="30" fillId="0" borderId="2" xfId="15" applyFont="1" applyBorder="1" applyAlignment="1">
      <alignment horizontal="center" vertical="top" wrapText="1"/>
    </xf>
    <xf numFmtId="43" fontId="31" fillId="0" borderId="4" xfId="15" applyFont="1" applyBorder="1" applyAlignment="1">
      <alignment horizontal="center" vertical="top" wrapText="1"/>
    </xf>
    <xf numFmtId="43" fontId="32" fillId="0" borderId="4" xfId="15" applyFont="1" applyBorder="1" applyAlignment="1">
      <alignment horizontal="center" vertical="top" wrapText="1"/>
    </xf>
    <xf numFmtId="43" fontId="30" fillId="0" borderId="4" xfId="15" applyFont="1" applyBorder="1" applyAlignment="1">
      <alignment horizontal="center" vertical="top" wrapText="1"/>
    </xf>
    <xf numFmtId="43" fontId="30" fillId="0" borderId="7" xfId="15" applyFont="1" applyBorder="1" applyAlignment="1">
      <alignment horizontal="center" vertical="top" wrapText="1"/>
    </xf>
    <xf numFmtId="43" fontId="31" fillId="0" borderId="8" xfId="15" applyFont="1" applyBorder="1" applyAlignment="1">
      <alignment horizontal="center" vertical="top" wrapText="1"/>
    </xf>
    <xf numFmtId="43" fontId="30" fillId="0" borderId="6" xfId="15" applyFont="1" applyBorder="1" applyAlignment="1">
      <alignment horizontal="center" vertical="top" wrapText="1"/>
    </xf>
    <xf numFmtId="43" fontId="30" fillId="0" borderId="3" xfId="15" applyFont="1" applyBorder="1" applyAlignment="1">
      <alignment horizontal="center" vertical="top" wrapText="1"/>
    </xf>
    <xf numFmtId="43" fontId="31" fillId="0" borderId="5" xfId="15" applyFont="1" applyBorder="1" applyAlignment="1">
      <alignment horizontal="center" vertical="top" wrapText="1"/>
    </xf>
    <xf numFmtId="43" fontId="33" fillId="0" borderId="6" xfId="15" applyFont="1" applyBorder="1" applyAlignment="1">
      <alignment horizontal="center" vertical="top" wrapText="1"/>
    </xf>
    <xf numFmtId="43" fontId="32" fillId="0" borderId="6" xfId="15" applyFont="1" applyBorder="1" applyAlignment="1">
      <alignment horizontal="center" vertical="top" wrapText="1"/>
    </xf>
    <xf numFmtId="43" fontId="31" fillId="0" borderId="6" xfId="15" applyFont="1" applyBorder="1" applyAlignment="1">
      <alignment horizontal="center" vertical="top" wrapText="1"/>
    </xf>
    <xf numFmtId="43" fontId="30" fillId="0" borderId="8" xfId="15" applyFont="1" applyBorder="1" applyAlignment="1">
      <alignment horizontal="center" vertical="top" wrapText="1"/>
    </xf>
    <xf numFmtId="43" fontId="31" fillId="0" borderId="7" xfId="15" applyFont="1" applyBorder="1" applyAlignment="1">
      <alignment horizontal="center" vertical="top" wrapText="1"/>
    </xf>
    <xf numFmtId="0" fontId="29" fillId="0" borderId="0" xfId="0" applyFont="1" applyAlignment="1">
      <alignment/>
    </xf>
    <xf numFmtId="40" fontId="29" fillId="0" borderId="0" xfId="0" applyNumberFormat="1" applyFont="1" applyAlignment="1">
      <alignment/>
    </xf>
    <xf numFmtId="43" fontId="5" fillId="0" borderId="0" xfId="15" applyFont="1" applyFill="1" applyAlignment="1">
      <alignment horizontal="center"/>
    </xf>
    <xf numFmtId="43" fontId="5" fillId="0" borderId="2" xfId="15" applyFont="1" applyFill="1" applyBorder="1" applyAlignment="1">
      <alignment horizontal="center" vertical="top" wrapText="1"/>
    </xf>
    <xf numFmtId="43" fontId="4" fillId="0" borderId="4" xfId="15" applyFont="1" applyFill="1" applyBorder="1" applyAlignment="1">
      <alignment horizontal="center" vertical="top" wrapText="1"/>
    </xf>
    <xf numFmtId="43" fontId="7" fillId="0" borderId="4" xfId="15" applyFont="1" applyFill="1" applyBorder="1" applyAlignment="1">
      <alignment horizontal="center" vertical="top" wrapText="1"/>
    </xf>
    <xf numFmtId="43" fontId="4" fillId="0" borderId="8" xfId="15" applyFont="1" applyFill="1" applyBorder="1" applyAlignment="1">
      <alignment horizontal="center" vertical="top" wrapText="1"/>
    </xf>
    <xf numFmtId="43" fontId="4" fillId="0" borderId="5" xfId="15" applyFont="1" applyFill="1" applyBorder="1" applyAlignment="1">
      <alignment horizontal="center" vertical="top" wrapText="1"/>
    </xf>
    <xf numFmtId="43" fontId="6" fillId="0" borderId="6" xfId="15" applyFont="1" applyFill="1" applyBorder="1" applyAlignment="1">
      <alignment horizontal="center" vertical="top" wrapText="1"/>
    </xf>
    <xf numFmtId="43" fontId="7" fillId="0" borderId="6" xfId="15" applyFont="1" applyFill="1" applyBorder="1" applyAlignment="1">
      <alignment horizontal="center" vertical="top" wrapText="1"/>
    </xf>
    <xf numFmtId="43" fontId="11" fillId="0" borderId="6" xfId="15" applyFont="1" applyFill="1" applyBorder="1" applyAlignment="1">
      <alignment horizontal="center" vertical="top" wrapText="1"/>
    </xf>
    <xf numFmtId="43" fontId="4" fillId="0" borderId="6" xfId="15" applyFont="1" applyFill="1" applyBorder="1" applyAlignment="1">
      <alignment horizontal="center" vertical="top" wrapText="1"/>
    </xf>
    <xf numFmtId="43" fontId="4" fillId="0" borderId="7" xfId="15" applyFont="1" applyFill="1" applyBorder="1" applyAlignment="1">
      <alignment horizontal="center" vertical="top" wrapText="1"/>
    </xf>
    <xf numFmtId="4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30" fillId="0" borderId="0" xfId="0" applyFont="1" applyAlignment="1">
      <alignment horizontal="left"/>
    </xf>
    <xf numFmtId="43" fontId="30" fillId="0" borderId="0" xfId="15" applyFont="1" applyAlignment="1">
      <alignment/>
    </xf>
    <xf numFmtId="0" fontId="30" fillId="0" borderId="0" xfId="0" applyFont="1" applyAlignment="1">
      <alignment/>
    </xf>
    <xf numFmtId="43" fontId="30" fillId="0" borderId="0" xfId="15" applyNumberFormat="1" applyFont="1" applyAlignment="1">
      <alignment vertical="top"/>
    </xf>
    <xf numFmtId="43" fontId="30" fillId="0" borderId="0" xfId="15" applyFont="1" applyAlignment="1">
      <alignment horizontal="right" vertical="top"/>
    </xf>
    <xf numFmtId="43" fontId="31" fillId="0" borderId="0" xfId="15" applyNumberFormat="1" applyFont="1" applyAlignment="1">
      <alignment vertical="top"/>
    </xf>
    <xf numFmtId="43" fontId="30" fillId="0" borderId="1" xfId="0" applyNumberFormat="1" applyFont="1" applyBorder="1" applyAlignment="1">
      <alignment horizontal="left"/>
    </xf>
    <xf numFmtId="43" fontId="30" fillId="0" borderId="1" xfId="15" applyNumberFormat="1" applyFont="1" applyBorder="1" applyAlignment="1">
      <alignment vertical="top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vertical="top"/>
    </xf>
    <xf numFmtId="0" fontId="28" fillId="0" borderId="0" xfId="0" applyFont="1" applyAlignment="1">
      <alignment horizontal="left" vertical="top"/>
    </xf>
    <xf numFmtId="0" fontId="28" fillId="0" borderId="0" xfId="0" applyFont="1" applyAlignment="1">
      <alignment vertical="top"/>
    </xf>
    <xf numFmtId="43" fontId="29" fillId="0" borderId="0" xfId="0" applyNumberFormat="1" applyFont="1" applyAlignment="1">
      <alignment vertical="top"/>
    </xf>
    <xf numFmtId="0" fontId="29" fillId="0" borderId="0" xfId="0" applyFont="1" applyFill="1" applyAlignment="1">
      <alignment vertical="top"/>
    </xf>
    <xf numFmtId="43" fontId="29" fillId="0" borderId="0" xfId="15" applyFont="1" applyAlignment="1">
      <alignment vertical="top"/>
    </xf>
    <xf numFmtId="43" fontId="5" fillId="0" borderId="0" xfId="0" applyNumberFormat="1" applyFont="1" applyAlignment="1">
      <alignment horizontal="left" vertical="center"/>
    </xf>
    <xf numFmtId="0" fontId="22" fillId="3" borderId="6" xfId="0" applyFont="1" applyFill="1" applyBorder="1" applyAlignment="1">
      <alignment vertical="top" wrapText="1"/>
    </xf>
    <xf numFmtId="43" fontId="22" fillId="0" borderId="4" xfId="15" applyNumberFormat="1" applyFont="1" applyFill="1" applyBorder="1" applyAlignment="1">
      <alignment vertical="top" wrapText="1"/>
    </xf>
    <xf numFmtId="0" fontId="22" fillId="3" borderId="6" xfId="0" applyFont="1" applyFill="1" applyBorder="1" applyAlignment="1">
      <alignment horizontal="left" vertical="top" wrapText="1"/>
    </xf>
    <xf numFmtId="43" fontId="22" fillId="0" borderId="4" xfId="15" applyFont="1" applyFill="1" applyBorder="1" applyAlignment="1">
      <alignment vertical="top" wrapText="1"/>
    </xf>
    <xf numFmtId="0" fontId="22" fillId="3" borderId="6" xfId="0" applyFont="1" applyFill="1" applyBorder="1" applyAlignment="1">
      <alignment/>
    </xf>
    <xf numFmtId="49" fontId="5" fillId="0" borderId="6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43" fontId="5" fillId="0" borderId="6" xfId="15" applyFont="1" applyFill="1" applyBorder="1" applyAlignment="1">
      <alignment wrapText="1"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43" fontId="5" fillId="0" borderId="6" xfId="15" applyFont="1" applyFill="1" applyBorder="1" applyAlignment="1">
      <alignment/>
    </xf>
    <xf numFmtId="43" fontId="30" fillId="0" borderId="0" xfId="15" applyNumberFormat="1" applyFont="1" applyBorder="1" applyAlignment="1">
      <alignment vertical="top"/>
    </xf>
    <xf numFmtId="43" fontId="31" fillId="0" borderId="0" xfId="15" applyNumberFormat="1" applyFont="1" applyBorder="1" applyAlignment="1">
      <alignment vertical="top"/>
    </xf>
    <xf numFmtId="43" fontId="34" fillId="0" borderId="0" xfId="0" applyNumberFormat="1" applyFont="1" applyAlignment="1">
      <alignment vertical="top"/>
    </xf>
    <xf numFmtId="43" fontId="35" fillId="0" borderId="0" xfId="15" applyNumberFormat="1" applyFont="1" applyAlignment="1">
      <alignment vertical="top"/>
    </xf>
    <xf numFmtId="43" fontId="31" fillId="2" borderId="1" xfId="15" applyNumberFormat="1" applyFont="1" applyFill="1" applyBorder="1" applyAlignment="1">
      <alignment horizontal="center" vertical="top"/>
    </xf>
    <xf numFmtId="43" fontId="31" fillId="0" borderId="5" xfId="15" applyNumberFormat="1" applyFont="1" applyBorder="1" applyAlignment="1">
      <alignment vertical="top"/>
    </xf>
    <xf numFmtId="43" fontId="30" fillId="0" borderId="6" xfId="15" applyNumberFormat="1" applyFont="1" applyFill="1" applyBorder="1" applyAlignment="1">
      <alignment vertical="top"/>
    </xf>
    <xf numFmtId="43" fontId="30" fillId="0" borderId="3" xfId="15" applyNumberFormat="1" applyFont="1" applyFill="1" applyBorder="1" applyAlignment="1">
      <alignment vertical="top" wrapText="1"/>
    </xf>
    <xf numFmtId="43" fontId="31" fillId="0" borderId="6" xfId="15" applyNumberFormat="1" applyFont="1" applyFill="1" applyBorder="1" applyAlignment="1">
      <alignment vertical="top"/>
    </xf>
    <xf numFmtId="43" fontId="30" fillId="0" borderId="6" xfId="15" applyNumberFormat="1" applyFont="1" applyFill="1" applyBorder="1" applyAlignment="1">
      <alignment vertical="top" wrapText="1"/>
    </xf>
    <xf numFmtId="43" fontId="31" fillId="0" borderId="5" xfId="15" applyNumberFormat="1" applyFont="1" applyFill="1" applyBorder="1" applyAlignment="1">
      <alignment vertical="top"/>
    </xf>
    <xf numFmtId="43" fontId="31" fillId="0" borderId="9" xfId="15" applyNumberFormat="1" applyFont="1" applyFill="1" applyBorder="1" applyAlignment="1">
      <alignment vertical="top"/>
    </xf>
    <xf numFmtId="43" fontId="31" fillId="0" borderId="8" xfId="15" applyNumberFormat="1" applyFont="1" applyFill="1" applyBorder="1" applyAlignment="1">
      <alignment vertical="top"/>
    </xf>
    <xf numFmtId="43" fontId="30" fillId="0" borderId="10" xfId="15" applyNumberFormat="1" applyFont="1" applyFill="1" applyBorder="1" applyAlignment="1">
      <alignment vertical="top"/>
    </xf>
    <xf numFmtId="43" fontId="30" fillId="0" borderId="4" xfId="15" applyNumberFormat="1" applyFont="1" applyFill="1" applyBorder="1" applyAlignment="1">
      <alignment vertical="top"/>
    </xf>
    <xf numFmtId="43" fontId="30" fillId="0" borderId="10" xfId="15" applyNumberFormat="1" applyFont="1" applyFill="1" applyBorder="1" applyAlignment="1">
      <alignment vertical="top" wrapText="1"/>
    </xf>
    <xf numFmtId="43" fontId="30" fillId="0" borderId="4" xfId="15" applyNumberFormat="1" applyFont="1" applyFill="1" applyBorder="1" applyAlignment="1">
      <alignment vertical="top" wrapText="1"/>
    </xf>
    <xf numFmtId="43" fontId="29" fillId="0" borderId="10" xfId="15" applyFont="1" applyFill="1" applyBorder="1" applyAlignment="1">
      <alignment vertical="top" wrapText="1"/>
    </xf>
    <xf numFmtId="43" fontId="29" fillId="0" borderId="6" xfId="15" applyFont="1" applyFill="1" applyBorder="1" applyAlignment="1">
      <alignment vertical="top" wrapText="1"/>
    </xf>
    <xf numFmtId="43" fontId="29" fillId="0" borderId="4" xfId="15" applyFont="1" applyFill="1" applyBorder="1" applyAlignment="1">
      <alignment vertical="top" wrapText="1"/>
    </xf>
    <xf numFmtId="43" fontId="30" fillId="0" borderId="10" xfId="15" applyFont="1" applyFill="1" applyBorder="1" applyAlignment="1">
      <alignment vertical="top" wrapText="1"/>
    </xf>
    <xf numFmtId="43" fontId="30" fillId="0" borderId="6" xfId="15" applyFont="1" applyFill="1" applyBorder="1" applyAlignment="1">
      <alignment vertical="top" wrapText="1"/>
    </xf>
    <xf numFmtId="43" fontId="30" fillId="0" borderId="4" xfId="15" applyFont="1" applyFill="1" applyBorder="1" applyAlignment="1">
      <alignment vertical="top" wrapText="1"/>
    </xf>
    <xf numFmtId="43" fontId="30" fillId="0" borderId="10" xfId="15" applyFont="1" applyBorder="1" applyAlignment="1">
      <alignment vertical="top"/>
    </xf>
    <xf numFmtId="43" fontId="30" fillId="0" borderId="6" xfId="15" applyFont="1" applyBorder="1" applyAlignment="1">
      <alignment vertical="top"/>
    </xf>
    <xf numFmtId="43" fontId="30" fillId="0" borderId="4" xfId="15" applyFont="1" applyBorder="1" applyAlignment="1">
      <alignment vertical="top"/>
    </xf>
    <xf numFmtId="43" fontId="30" fillId="0" borderId="11" xfId="15" applyFont="1" applyFill="1" applyBorder="1" applyAlignment="1">
      <alignment vertical="top" wrapText="1"/>
    </xf>
    <xf numFmtId="43" fontId="30" fillId="0" borderId="3" xfId="15" applyFont="1" applyFill="1" applyBorder="1" applyAlignment="1">
      <alignment vertical="top" wrapText="1"/>
    </xf>
    <xf numFmtId="43" fontId="30" fillId="0" borderId="7" xfId="15" applyFont="1" applyFill="1" applyBorder="1" applyAlignment="1">
      <alignment vertical="top" wrapText="1"/>
    </xf>
    <xf numFmtId="43" fontId="30" fillId="0" borderId="7" xfId="15" applyNumberFormat="1" applyFont="1" applyFill="1" applyBorder="1" applyAlignment="1">
      <alignment vertical="top" wrapText="1"/>
    </xf>
    <xf numFmtId="43" fontId="30" fillId="0" borderId="11" xfId="15" applyNumberFormat="1" applyFont="1" applyFill="1" applyBorder="1" applyAlignment="1">
      <alignment vertical="top" wrapText="1"/>
    </xf>
    <xf numFmtId="43" fontId="30" fillId="0" borderId="3" xfId="15" applyNumberFormat="1" applyFont="1" applyFill="1" applyBorder="1" applyAlignment="1">
      <alignment vertical="top"/>
    </xf>
    <xf numFmtId="43" fontId="30" fillId="0" borderId="7" xfId="15" applyNumberFormat="1" applyFont="1" applyFill="1" applyBorder="1" applyAlignment="1">
      <alignment vertical="top"/>
    </xf>
    <xf numFmtId="43" fontId="31" fillId="0" borderId="5" xfId="15" applyNumberFormat="1" applyFont="1" applyFill="1" applyBorder="1" applyAlignment="1">
      <alignment vertical="top" wrapText="1"/>
    </xf>
    <xf numFmtId="43" fontId="31" fillId="0" borderId="8" xfId="15" applyNumberFormat="1" applyFont="1" applyFill="1" applyBorder="1" applyAlignment="1">
      <alignment vertical="top" wrapText="1"/>
    </xf>
    <xf numFmtId="43" fontId="31" fillId="2" borderId="1" xfId="15" applyNumberFormat="1" applyFont="1" applyFill="1" applyBorder="1" applyAlignment="1">
      <alignment vertical="top"/>
    </xf>
    <xf numFmtId="167" fontId="30" fillId="0" borderId="0" xfId="15" applyNumberFormat="1" applyFont="1" applyBorder="1" applyAlignment="1">
      <alignment vertical="top"/>
    </xf>
    <xf numFmtId="0" fontId="5" fillId="0" borderId="0" xfId="0" applyFont="1" applyAlignment="1">
      <alignment horizontal="center" vertical="center"/>
    </xf>
    <xf numFmtId="168" fontId="5" fillId="0" borderId="0" xfId="15" applyNumberFormat="1" applyFont="1" applyAlignment="1">
      <alignment vertical="top"/>
    </xf>
    <xf numFmtId="168" fontId="37" fillId="0" borderId="6" xfId="15" applyNumberFormat="1" applyFont="1" applyBorder="1" applyAlignment="1">
      <alignment vertical="center" wrapText="1"/>
    </xf>
    <xf numFmtId="168" fontId="16" fillId="0" borderId="3" xfId="15" applyNumberFormat="1" applyFont="1" applyBorder="1" applyAlignment="1">
      <alignment vertical="center" wrapText="1"/>
    </xf>
    <xf numFmtId="168" fontId="5" fillId="0" borderId="0" xfId="15" applyNumberFormat="1" applyFont="1" applyBorder="1" applyAlignment="1">
      <alignment horizontal="center" vertical="center" wrapText="1"/>
    </xf>
    <xf numFmtId="168" fontId="4" fillId="0" borderId="0" xfId="15" applyNumberFormat="1" applyFont="1" applyBorder="1" applyAlignment="1">
      <alignment horizontal="center" vertical="center" wrapText="1"/>
    </xf>
    <xf numFmtId="168" fontId="4" fillId="0" borderId="0" xfId="15" applyNumberFormat="1" applyFont="1" applyBorder="1" applyAlignment="1">
      <alignment horizontal="center" vertical="top" wrapText="1"/>
    </xf>
    <xf numFmtId="168" fontId="4" fillId="0" borderId="0" xfId="15" applyNumberFormat="1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168" fontId="5" fillId="0" borderId="0" xfId="15" applyNumberFormat="1" applyFont="1" applyBorder="1" applyAlignment="1">
      <alignment/>
    </xf>
    <xf numFmtId="168" fontId="5" fillId="0" borderId="0" xfId="15" applyNumberFormat="1" applyFont="1" applyBorder="1" applyAlignment="1">
      <alignment vertical="top"/>
    </xf>
    <xf numFmtId="168" fontId="4" fillId="0" borderId="0" xfId="15" applyNumberFormat="1" applyFont="1" applyBorder="1" applyAlignment="1">
      <alignment vertical="top"/>
    </xf>
    <xf numFmtId="43" fontId="11" fillId="0" borderId="0" xfId="15" applyFont="1" applyAlignment="1">
      <alignment vertical="top"/>
    </xf>
    <xf numFmtId="168" fontId="5" fillId="0" borderId="0" xfId="15" applyNumberFormat="1" applyFont="1" applyAlignment="1">
      <alignment/>
    </xf>
    <xf numFmtId="168" fontId="37" fillId="2" borderId="6" xfId="15" applyNumberFormat="1" applyFont="1" applyFill="1" applyBorder="1" applyAlignment="1">
      <alignment vertical="center" wrapText="1"/>
    </xf>
    <xf numFmtId="168" fontId="16" fillId="2" borderId="3" xfId="15" applyNumberFormat="1" applyFont="1" applyFill="1" applyBorder="1" applyAlignment="1">
      <alignment vertical="center" wrapText="1"/>
    </xf>
    <xf numFmtId="0" fontId="19" fillId="3" borderId="33" xfId="18" applyFont="1" applyFill="1" applyBorder="1" applyAlignment="1">
      <alignment wrapText="1"/>
      <protection/>
    </xf>
    <xf numFmtId="0" fontId="19" fillId="0" borderId="34" xfId="18" applyFont="1" applyBorder="1" applyAlignment="1">
      <alignment horizontal="center"/>
      <protection/>
    </xf>
    <xf numFmtId="0" fontId="19" fillId="0" borderId="35" xfId="18" applyFont="1" applyBorder="1" applyAlignment="1">
      <alignment horizontal="center"/>
      <protection/>
    </xf>
    <xf numFmtId="0" fontId="19" fillId="0" borderId="36" xfId="18" applyFont="1" applyBorder="1" applyAlignment="1">
      <alignment horizontal="center"/>
      <protection/>
    </xf>
    <xf numFmtId="0" fontId="5" fillId="0" borderId="9" xfId="0" applyFont="1" applyFill="1" applyBorder="1" applyAlignment="1">
      <alignment vertical="top" wrapText="1"/>
    </xf>
    <xf numFmtId="43" fontId="5" fillId="0" borderId="8" xfId="15" applyNumberFormat="1" applyFont="1" applyFill="1" applyBorder="1" applyAlignment="1">
      <alignment vertical="top" wrapText="1"/>
    </xf>
    <xf numFmtId="43" fontId="4" fillId="0" borderId="8" xfId="15" applyNumberFormat="1" applyFont="1" applyFill="1" applyBorder="1" applyAlignment="1">
      <alignment vertical="top" wrapText="1"/>
    </xf>
    <xf numFmtId="0" fontId="23" fillId="0" borderId="1" xfId="0" applyFont="1" applyBorder="1" applyAlignment="1">
      <alignment horizontal="center" vertical="top"/>
    </xf>
    <xf numFmtId="0" fontId="23" fillId="0" borderId="1" xfId="0" applyFont="1" applyBorder="1" applyAlignment="1">
      <alignment horizontal="left" vertical="top" wrapText="1"/>
    </xf>
    <xf numFmtId="168" fontId="23" fillId="0" borderId="1" xfId="0" applyNumberFormat="1" applyFont="1" applyBorder="1" applyAlignment="1">
      <alignment vertical="top"/>
    </xf>
    <xf numFmtId="43" fontId="22" fillId="0" borderId="0" xfId="15" applyFont="1" applyAlignment="1">
      <alignment horizontal="center"/>
    </xf>
    <xf numFmtId="168" fontId="22" fillId="0" borderId="1" xfId="15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43" fontId="19" fillId="0" borderId="0" xfId="18" applyNumberFormat="1" applyFont="1">
      <alignment/>
      <protection/>
    </xf>
    <xf numFmtId="43" fontId="19" fillId="0" borderId="31" xfId="15" applyFont="1" applyFill="1" applyBorder="1" applyAlignment="1">
      <alignment/>
    </xf>
    <xf numFmtId="43" fontId="5" fillId="0" borderId="8" xfId="15" applyFont="1" applyFill="1" applyBorder="1" applyAlignment="1">
      <alignment/>
    </xf>
    <xf numFmtId="43" fontId="30" fillId="0" borderId="0" xfId="15" applyFont="1" applyAlignment="1">
      <alignment vertical="top"/>
    </xf>
    <xf numFmtId="167" fontId="29" fillId="0" borderId="0" xfId="15" applyNumberFormat="1" applyFont="1" applyBorder="1" applyAlignment="1">
      <alignment horizontal="center" vertical="top"/>
    </xf>
    <xf numFmtId="43" fontId="5" fillId="0" borderId="0" xfId="15" applyFont="1" applyFill="1" applyAlignment="1">
      <alignment/>
    </xf>
    <xf numFmtId="43" fontId="28" fillId="0" borderId="4" xfId="15" applyNumberFormat="1" applyFont="1" applyFill="1" applyBorder="1" applyAlignment="1">
      <alignment horizontal="right" vertical="top"/>
    </xf>
    <xf numFmtId="43" fontId="12" fillId="0" borderId="0" xfId="0" applyNumberFormat="1" applyFont="1" applyAlignment="1">
      <alignment/>
    </xf>
    <xf numFmtId="168" fontId="22" fillId="0" borderId="0" xfId="15" applyNumberFormat="1" applyFont="1" applyAlignment="1">
      <alignment horizontal="center"/>
    </xf>
    <xf numFmtId="168" fontId="22" fillId="0" borderId="0" xfId="15" applyNumberFormat="1" applyFont="1" applyAlignment="1">
      <alignment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2" borderId="2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3" fontId="4" fillId="2" borderId="0" xfId="0" applyNumberFormat="1" applyFont="1" applyFill="1" applyAlignment="1">
      <alignment horizontal="left"/>
    </xf>
    <xf numFmtId="43" fontId="5" fillId="0" borderId="0" xfId="0" applyNumberFormat="1" applyFont="1" applyAlignment="1">
      <alignment horizontal="left"/>
    </xf>
    <xf numFmtId="0" fontId="5" fillId="4" borderId="0" xfId="0" applyFont="1" applyFill="1" applyAlignment="1">
      <alignment/>
    </xf>
    <xf numFmtId="43" fontId="5" fillId="4" borderId="0" xfId="15" applyFont="1" applyFill="1" applyAlignment="1">
      <alignment horizontal="left"/>
    </xf>
    <xf numFmtId="40" fontId="5" fillId="2" borderId="0" xfId="0" applyNumberFormat="1" applyFont="1" applyFill="1" applyAlignment="1">
      <alignment horizontal="center"/>
    </xf>
    <xf numFmtId="168" fontId="5" fillId="0" borderId="0" xfId="0" applyNumberFormat="1" applyFont="1" applyAlignment="1">
      <alignment/>
    </xf>
    <xf numFmtId="43" fontId="4" fillId="0" borderId="0" xfId="0" applyNumberFormat="1" applyFont="1" applyAlignment="1">
      <alignment horizontal="left"/>
    </xf>
    <xf numFmtId="168" fontId="5" fillId="0" borderId="0" xfId="0" applyNumberFormat="1" applyFont="1" applyAlignment="1">
      <alignment horizontal="right"/>
    </xf>
    <xf numFmtId="0" fontId="16" fillId="0" borderId="0" xfId="0" applyFont="1" applyAlignment="1">
      <alignment vertical="center"/>
    </xf>
    <xf numFmtId="168" fontId="38" fillId="0" borderId="5" xfId="15" applyNumberFormat="1" applyFont="1" applyFill="1" applyBorder="1" applyAlignment="1">
      <alignment vertical="center" wrapText="1"/>
    </xf>
    <xf numFmtId="168" fontId="38" fillId="0" borderId="8" xfId="15" applyNumberFormat="1" applyFont="1" applyFill="1" applyBorder="1" applyAlignment="1">
      <alignment vertical="center" wrapText="1"/>
    </xf>
    <xf numFmtId="168" fontId="16" fillId="0" borderId="3" xfId="15" applyNumberFormat="1" applyFont="1" applyFill="1" applyBorder="1" applyAlignment="1">
      <alignment vertical="center" wrapText="1"/>
    </xf>
    <xf numFmtId="168" fontId="16" fillId="0" borderId="7" xfId="15" applyNumberFormat="1" applyFont="1" applyFill="1" applyBorder="1" applyAlignment="1">
      <alignment vertical="center" wrapText="1"/>
    </xf>
    <xf numFmtId="168" fontId="15" fillId="0" borderId="0" xfId="15" applyNumberFormat="1" applyFont="1" applyBorder="1" applyAlignment="1">
      <alignment vertical="center" wrapText="1"/>
    </xf>
    <xf numFmtId="168" fontId="38" fillId="0" borderId="5" xfId="15" applyNumberFormat="1" applyFont="1" applyBorder="1" applyAlignment="1">
      <alignment vertical="center" wrapText="1"/>
    </xf>
    <xf numFmtId="168" fontId="38" fillId="0" borderId="5" xfId="15" applyNumberFormat="1" applyFont="1" applyBorder="1" applyAlignment="1">
      <alignment vertical="center"/>
    </xf>
    <xf numFmtId="168" fontId="16" fillId="0" borderId="3" xfId="15" applyNumberFormat="1" applyFont="1" applyBorder="1" applyAlignment="1">
      <alignment vertical="center"/>
    </xf>
    <xf numFmtId="168" fontId="38" fillId="0" borderId="13" xfId="15" applyNumberFormat="1" applyFont="1" applyFill="1" applyBorder="1" applyAlignment="1">
      <alignment vertical="center"/>
    </xf>
    <xf numFmtId="168" fontId="38" fillId="0" borderId="5" xfId="15" applyNumberFormat="1" applyFont="1" applyFill="1" applyBorder="1" applyAlignment="1">
      <alignment vertical="center"/>
    </xf>
    <xf numFmtId="168" fontId="38" fillId="0" borderId="8" xfId="0" applyNumberFormat="1" applyFont="1" applyBorder="1" applyAlignment="1">
      <alignment vertical="center"/>
    </xf>
    <xf numFmtId="168" fontId="16" fillId="0" borderId="12" xfId="15" applyNumberFormat="1" applyFont="1" applyFill="1" applyBorder="1" applyAlignment="1">
      <alignment vertical="center" wrapText="1"/>
    </xf>
    <xf numFmtId="168" fontId="16" fillId="0" borderId="7" xfId="0" applyNumberFormat="1" applyFont="1" applyBorder="1" applyAlignment="1">
      <alignment vertical="center"/>
    </xf>
    <xf numFmtId="168" fontId="5" fillId="0" borderId="0" xfId="15" applyNumberFormat="1" applyFont="1" applyAlignment="1">
      <alignment horizontal="right" vertical="justify"/>
    </xf>
    <xf numFmtId="168" fontId="38" fillId="0" borderId="6" xfId="15" applyNumberFormat="1" applyFont="1" applyBorder="1" applyAlignment="1">
      <alignment vertical="center"/>
    </xf>
    <xf numFmtId="168" fontId="38" fillId="0" borderId="4" xfId="15" applyNumberFormat="1" applyFont="1" applyBorder="1" applyAlignment="1">
      <alignment vertical="center"/>
    </xf>
    <xf numFmtId="168" fontId="16" fillId="0" borderId="7" xfId="15" applyNumberFormat="1" applyFont="1" applyBorder="1" applyAlignment="1">
      <alignment vertical="center"/>
    </xf>
    <xf numFmtId="168" fontId="38" fillId="0" borderId="13" xfId="15" applyNumberFormat="1" applyFont="1" applyFill="1" applyBorder="1" applyAlignment="1">
      <alignment vertical="center" wrapText="1"/>
    </xf>
    <xf numFmtId="168" fontId="15" fillId="0" borderId="0" xfId="15" applyNumberFormat="1" applyFont="1" applyBorder="1" applyAlignment="1">
      <alignment vertical="center"/>
    </xf>
    <xf numFmtId="168" fontId="39" fillId="2" borderId="13" xfId="15" applyNumberFormat="1" applyFont="1" applyFill="1" applyBorder="1" applyAlignment="1">
      <alignment vertical="center" wrapText="1"/>
    </xf>
    <xf numFmtId="168" fontId="39" fillId="2" borderId="5" xfId="15" applyNumberFormat="1" applyFont="1" applyFill="1" applyBorder="1" applyAlignment="1">
      <alignment vertical="center" wrapText="1"/>
    </xf>
    <xf numFmtId="168" fontId="15" fillId="2" borderId="12" xfId="15" applyNumberFormat="1" applyFont="1" applyFill="1" applyBorder="1" applyAlignment="1">
      <alignment vertical="center" wrapText="1"/>
    </xf>
    <xf numFmtId="168" fontId="15" fillId="2" borderId="3" xfId="15" applyNumberFormat="1" applyFont="1" applyFill="1" applyBorder="1" applyAlignment="1">
      <alignment vertical="center" wrapText="1"/>
    </xf>
    <xf numFmtId="168" fontId="16" fillId="0" borderId="0" xfId="15" applyNumberFormat="1" applyFont="1" applyBorder="1" applyAlignment="1">
      <alignment vertical="center"/>
    </xf>
    <xf numFmtId="168" fontId="16" fillId="0" borderId="0" xfId="15" applyNumberFormat="1" applyFont="1" applyAlignment="1">
      <alignment vertical="center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right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left" vertical="top" wrapText="1"/>
    </xf>
    <xf numFmtId="0" fontId="23" fillId="2" borderId="1" xfId="0" applyFont="1" applyFill="1" applyBorder="1" applyAlignment="1">
      <alignment horizontal="left" vertical="center" wrapText="1"/>
    </xf>
    <xf numFmtId="168" fontId="5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0" borderId="0" xfId="0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4" fillId="0" borderId="32" xfId="0" applyFont="1" applyBorder="1" applyAlignment="1">
      <alignment horizontal="center" vertical="top" wrapText="1"/>
    </xf>
    <xf numFmtId="0" fontId="4" fillId="2" borderId="24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0" borderId="38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5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43" fontId="5" fillId="0" borderId="5" xfId="15" applyFont="1" applyFill="1" applyBorder="1" applyAlignment="1">
      <alignment horizontal="center" vertical="top" wrapText="1"/>
    </xf>
    <xf numFmtId="43" fontId="5" fillId="0" borderId="6" xfId="15" applyFont="1" applyFill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43" fontId="5" fillId="0" borderId="3" xfId="15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4" fillId="2" borderId="39" xfId="0" applyFont="1" applyFill="1" applyBorder="1" applyAlignment="1">
      <alignment horizontal="left" vertical="top" wrapText="1"/>
    </xf>
    <xf numFmtId="0" fontId="4" fillId="2" borderId="28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43" fontId="5" fillId="0" borderId="5" xfId="15" applyFont="1" applyFill="1" applyBorder="1" applyAlignment="1">
      <alignment horizontal="center"/>
    </xf>
    <xf numFmtId="43" fontId="5" fillId="0" borderId="3" xfId="15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0" borderId="5" xfId="0" applyFont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43" fontId="5" fillId="0" borderId="6" xfId="15" applyFont="1" applyFill="1" applyBorder="1" applyAlignment="1">
      <alignment horizontal="center"/>
    </xf>
    <xf numFmtId="43" fontId="5" fillId="0" borderId="5" xfId="15" applyFont="1" applyBorder="1" applyAlignment="1">
      <alignment horizontal="center"/>
    </xf>
    <xf numFmtId="43" fontId="5" fillId="0" borderId="6" xfId="15" applyFont="1" applyBorder="1" applyAlignment="1">
      <alignment horizontal="center"/>
    </xf>
    <xf numFmtId="43" fontId="5" fillId="0" borderId="3" xfId="15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9" fillId="0" borderId="27" xfId="18" applyFont="1" applyBorder="1" applyAlignment="1">
      <alignment horizontal="center" vertical="center"/>
      <protection/>
    </xf>
    <xf numFmtId="0" fontId="19" fillId="0" borderId="26" xfId="18" applyFont="1" applyBorder="1" applyAlignment="1">
      <alignment horizontal="center" vertical="center"/>
      <protection/>
    </xf>
    <xf numFmtId="0" fontId="19" fillId="0" borderId="33" xfId="18" applyFont="1" applyBorder="1" applyAlignment="1">
      <alignment horizontal="center" vertical="center"/>
      <protection/>
    </xf>
    <xf numFmtId="0" fontId="19" fillId="0" borderId="31" xfId="18" applyFont="1" applyBorder="1" applyAlignment="1">
      <alignment horizontal="center" vertical="center"/>
      <protection/>
    </xf>
    <xf numFmtId="0" fontId="19" fillId="0" borderId="40" xfId="18" applyFont="1" applyBorder="1" applyAlignment="1">
      <alignment horizontal="center"/>
      <protection/>
    </xf>
    <xf numFmtId="0" fontId="19" fillId="0" borderId="41" xfId="18" applyFont="1" applyBorder="1" applyAlignment="1">
      <alignment horizontal="center"/>
      <protection/>
    </xf>
    <xf numFmtId="0" fontId="19" fillId="0" borderId="42" xfId="18" applyFont="1" applyBorder="1" applyAlignment="1">
      <alignment horizontal="center"/>
      <protection/>
    </xf>
    <xf numFmtId="0" fontId="19" fillId="0" borderId="43" xfId="18" applyFont="1" applyBorder="1" applyAlignment="1">
      <alignment horizontal="center"/>
      <protection/>
    </xf>
    <xf numFmtId="0" fontId="19" fillId="0" borderId="44" xfId="18" applyFont="1" applyBorder="1" applyAlignment="1">
      <alignment horizontal="center"/>
      <protection/>
    </xf>
    <xf numFmtId="0" fontId="19" fillId="0" borderId="45" xfId="18" applyFont="1" applyBorder="1" applyAlignment="1">
      <alignment horizontal="center"/>
      <protection/>
    </xf>
    <xf numFmtId="0" fontId="17" fillId="0" borderId="0" xfId="18" applyFont="1" applyBorder="1" applyAlignment="1">
      <alignment horizontal="center" wrapText="1"/>
      <protection/>
    </xf>
    <xf numFmtId="0" fontId="20" fillId="2" borderId="5" xfId="18" applyFont="1" applyFill="1" applyBorder="1" applyAlignment="1">
      <alignment horizontal="center" vertical="center" wrapText="1"/>
      <protection/>
    </xf>
    <xf numFmtId="0" fontId="20" fillId="2" borderId="6" xfId="18" applyFont="1" applyFill="1" applyBorder="1" applyAlignment="1">
      <alignment horizontal="center" vertical="center" wrapText="1"/>
      <protection/>
    </xf>
    <xf numFmtId="0" fontId="20" fillId="2" borderId="5" xfId="18" applyFont="1" applyFill="1" applyBorder="1" applyAlignment="1">
      <alignment horizontal="center" vertical="center"/>
      <protection/>
    </xf>
    <xf numFmtId="0" fontId="20" fillId="2" borderId="6" xfId="18" applyFont="1" applyFill="1" applyBorder="1" applyAlignment="1">
      <alignment horizontal="center" vertical="center"/>
      <protection/>
    </xf>
    <xf numFmtId="0" fontId="20" fillId="2" borderId="5" xfId="18" applyFont="1" applyFill="1" applyBorder="1" applyAlignment="1">
      <alignment vertical="center"/>
      <protection/>
    </xf>
    <xf numFmtId="0" fontId="20" fillId="2" borderId="6" xfId="18" applyFont="1" applyFill="1" applyBorder="1" applyAlignment="1">
      <alignment vertical="center"/>
      <protection/>
    </xf>
    <xf numFmtId="0" fontId="20" fillId="2" borderId="24" xfId="18" applyFont="1" applyFill="1" applyBorder="1" applyAlignment="1">
      <alignment horizontal="center" vertical="center"/>
      <protection/>
    </xf>
    <xf numFmtId="0" fontId="20" fillId="2" borderId="28" xfId="18" applyFont="1" applyFill="1" applyBorder="1" applyAlignment="1">
      <alignment horizontal="center" vertical="center"/>
      <protection/>
    </xf>
    <xf numFmtId="0" fontId="20" fillId="2" borderId="2" xfId="18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8" fontId="15" fillId="2" borderId="5" xfId="15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5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168" fontId="5" fillId="0" borderId="5" xfId="15" applyNumberFormat="1" applyFont="1" applyBorder="1" applyAlignment="1">
      <alignment horizontal="center" vertical="top" wrapText="1"/>
    </xf>
    <xf numFmtId="168" fontId="5" fillId="0" borderId="5" xfId="15" applyNumberFormat="1" applyFont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168" fontId="4" fillId="2" borderId="5" xfId="15" applyNumberFormat="1" applyFont="1" applyFill="1" applyBorder="1" applyAlignment="1">
      <alignment horizontal="center" vertical="top" wrapText="1"/>
    </xf>
    <xf numFmtId="168" fontId="4" fillId="0" borderId="5" xfId="15" applyNumberFormat="1" applyFont="1" applyBorder="1" applyAlignment="1">
      <alignment horizontal="center" vertical="top" wrapText="1"/>
    </xf>
    <xf numFmtId="168" fontId="4" fillId="0" borderId="5" xfId="15" applyNumberFormat="1" applyFont="1" applyBorder="1" applyAlignment="1">
      <alignment vertical="top"/>
    </xf>
    <xf numFmtId="0" fontId="16" fillId="0" borderId="5" xfId="0" applyFont="1" applyBorder="1" applyAlignment="1">
      <alignment horizontal="center" vertical="center" wrapText="1"/>
    </xf>
    <xf numFmtId="168" fontId="16" fillId="0" borderId="5" xfId="15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168" fontId="16" fillId="0" borderId="24" xfId="15" applyNumberFormat="1" applyFont="1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2" xfId="0" applyBorder="1" applyAlignment="1">
      <alignment/>
    </xf>
    <xf numFmtId="168" fontId="5" fillId="0" borderId="5" xfId="15" applyNumberFormat="1" applyFont="1" applyFill="1" applyBorder="1" applyAlignment="1">
      <alignment horizontal="center" vertical="center" wrapText="1"/>
    </xf>
    <xf numFmtId="168" fontId="4" fillId="0" borderId="5" xfId="15" applyNumberFormat="1" applyFont="1" applyFill="1" applyBorder="1" applyAlignment="1">
      <alignment horizontal="center" vertical="top" wrapText="1"/>
    </xf>
    <xf numFmtId="168" fontId="5" fillId="0" borderId="3" xfId="15" applyNumberFormat="1" applyFont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top" wrapText="1"/>
    </xf>
    <xf numFmtId="168" fontId="5" fillId="0" borderId="5" xfId="15" applyNumberFormat="1" applyFont="1" applyFill="1" applyBorder="1" applyAlignment="1">
      <alignment horizontal="center" vertical="top" wrapText="1"/>
    </xf>
    <xf numFmtId="168" fontId="16" fillId="0" borderId="0" xfId="15" applyNumberFormat="1" applyFont="1" applyAlignment="1">
      <alignment horizontal="right" vertical="center"/>
    </xf>
    <xf numFmtId="0" fontId="3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 horizontal="left"/>
    </xf>
    <xf numFmtId="0" fontId="5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168" fontId="16" fillId="0" borderId="3" xfId="15" applyNumberFormat="1" applyFont="1" applyBorder="1" applyAlignment="1">
      <alignment horizontal="center" vertical="center" wrapText="1"/>
    </xf>
    <xf numFmtId="168" fontId="16" fillId="2" borderId="5" xfId="15" applyNumberFormat="1" applyFont="1" applyFill="1" applyBorder="1" applyAlignment="1">
      <alignment horizontal="center" vertical="center" wrapText="1"/>
    </xf>
    <xf numFmtId="168" fontId="16" fillId="2" borderId="3" xfId="15" applyNumberFormat="1" applyFont="1" applyFill="1" applyBorder="1" applyAlignment="1">
      <alignment horizontal="center" vertical="center" wrapText="1"/>
    </xf>
    <xf numFmtId="168" fontId="16" fillId="0" borderId="1" xfId="15" applyNumberFormat="1" applyFont="1" applyBorder="1" applyAlignment="1">
      <alignment horizontal="center" vertical="center" wrapText="1"/>
    </xf>
    <xf numFmtId="168" fontId="16" fillId="0" borderId="24" xfId="15" applyNumberFormat="1" applyFont="1" applyBorder="1" applyAlignment="1">
      <alignment horizontal="center" vertical="center" wrapText="1"/>
    </xf>
    <xf numFmtId="168" fontId="16" fillId="0" borderId="28" xfId="15" applyNumberFormat="1" applyFont="1" applyBorder="1" applyAlignment="1">
      <alignment horizontal="center" vertical="center" wrapText="1"/>
    </xf>
    <xf numFmtId="168" fontId="16" fillId="0" borderId="2" xfId="15" applyNumberFormat="1" applyFont="1" applyBorder="1" applyAlignment="1">
      <alignment horizontal="center" vertical="center" wrapText="1"/>
    </xf>
    <xf numFmtId="168" fontId="15" fillId="2" borderId="1" xfId="15" applyNumberFormat="1" applyFont="1" applyFill="1" applyBorder="1" applyAlignment="1">
      <alignment horizontal="center" vertical="center" wrapText="1"/>
    </xf>
    <xf numFmtId="168" fontId="15" fillId="2" borderId="3" xfId="15" applyNumberFormat="1" applyFont="1" applyFill="1" applyBorder="1" applyAlignment="1">
      <alignment horizontal="center" vertical="center" wrapText="1"/>
    </xf>
    <xf numFmtId="43" fontId="5" fillId="0" borderId="1" xfId="15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2"/>
  <sheetViews>
    <sheetView workbookViewId="0" topLeftCell="A7">
      <selection activeCell="K21" sqref="K21"/>
    </sheetView>
  </sheetViews>
  <sheetFormatPr defaultColWidth="9.00390625" defaultRowHeight="12.75"/>
  <cols>
    <col min="1" max="1" width="19.375" style="3" customWidth="1"/>
    <col min="2" max="2" width="16.00390625" style="421" bestFit="1" customWidth="1"/>
    <col min="3" max="3" width="16.00390625" style="131" bestFit="1" customWidth="1"/>
    <col min="4" max="4" width="16.00390625" style="131" customWidth="1"/>
    <col min="5" max="5" width="15.00390625" style="131" customWidth="1"/>
    <col min="6" max="16384" width="9.125" style="3" customWidth="1"/>
  </cols>
  <sheetData>
    <row r="2" spans="2:5" ht="12.75">
      <c r="B2" s="428">
        <v>2006</v>
      </c>
      <c r="C2" s="429">
        <v>2007</v>
      </c>
      <c r="D2" s="428">
        <v>2008</v>
      </c>
      <c r="E2" s="429"/>
    </row>
    <row r="3" spans="1:5" ht="12.75">
      <c r="A3" s="321" t="s">
        <v>169</v>
      </c>
      <c r="B3" s="415">
        <v>31764890.45</v>
      </c>
      <c r="C3" s="415">
        <v>37808141.51</v>
      </c>
      <c r="D3" s="416">
        <f>Dochody!D63</f>
        <v>35765592.94</v>
      </c>
      <c r="E3" s="414">
        <f>D3-C3</f>
        <v>-2042548.57</v>
      </c>
    </row>
    <row r="4" spans="1:5" ht="12.75">
      <c r="A4" s="83" t="s">
        <v>119</v>
      </c>
      <c r="B4" s="417">
        <v>37512083</v>
      </c>
      <c r="C4" s="417">
        <v>39394696.33</v>
      </c>
      <c r="D4" s="418">
        <f>Wydatki!C273</f>
        <v>52202013.34</v>
      </c>
      <c r="E4" s="414">
        <f aca="true" t="shared" si="0" ref="E4:E10">D4-C4</f>
        <v>12807317.01</v>
      </c>
    </row>
    <row r="5" spans="1:5" ht="12.75">
      <c r="A5" s="83" t="s">
        <v>405</v>
      </c>
      <c r="B5" s="417">
        <v>-5747192.55</v>
      </c>
      <c r="C5" s="417">
        <v>-1586554.82</v>
      </c>
      <c r="D5" s="418">
        <f>D3-D4</f>
        <v>-16436420.4</v>
      </c>
      <c r="E5" s="414">
        <f t="shared" si="0"/>
        <v>-14849865.58</v>
      </c>
    </row>
    <row r="6" spans="1:5" ht="12.75">
      <c r="A6" s="83" t="s">
        <v>132</v>
      </c>
      <c r="B6" s="417">
        <v>7597393.98</v>
      </c>
      <c r="C6" s="417">
        <v>3656759.82</v>
      </c>
      <c r="D6" s="418">
        <f>Przychody!C18</f>
        <v>17727626.88</v>
      </c>
      <c r="E6" s="414">
        <f t="shared" si="0"/>
        <v>14070867.06</v>
      </c>
    </row>
    <row r="7" spans="1:5" ht="12.75">
      <c r="A7" s="293" t="s">
        <v>406</v>
      </c>
      <c r="B7" s="419">
        <v>-1850201.43</v>
      </c>
      <c r="C7" s="419">
        <v>-2070205</v>
      </c>
      <c r="D7" s="420">
        <f>-Przychody!C5</f>
        <v>-1291206.48</v>
      </c>
      <c r="E7" s="414">
        <f t="shared" si="0"/>
        <v>778998.52</v>
      </c>
    </row>
    <row r="9" spans="1:5" ht="12.75">
      <c r="A9" s="3" t="s">
        <v>24</v>
      </c>
      <c r="C9" s="421">
        <f>C4-C10</f>
        <v>33465378</v>
      </c>
      <c r="D9" s="430">
        <f>D4-D10</f>
        <v>36022331.34</v>
      </c>
      <c r="E9" s="414">
        <f t="shared" si="0"/>
        <v>2556953.34</v>
      </c>
    </row>
    <row r="10" spans="1:5" ht="12.75">
      <c r="A10" s="3" t="s">
        <v>512</v>
      </c>
      <c r="C10" s="421">
        <v>5929318.33</v>
      </c>
      <c r="D10" s="430">
        <f>Inwestycje!C107</f>
        <v>16179682</v>
      </c>
      <c r="E10" s="414">
        <f t="shared" si="0"/>
        <v>10250363.67</v>
      </c>
    </row>
    <row r="12" spans="2:4" ht="12.75">
      <c r="B12" s="422">
        <v>2006</v>
      </c>
      <c r="C12" s="422">
        <v>2007</v>
      </c>
      <c r="D12" s="422">
        <v>2008</v>
      </c>
    </row>
    <row r="13" spans="1:5" ht="12.75">
      <c r="A13" s="319" t="s">
        <v>317</v>
      </c>
      <c r="B13" s="423">
        <f>B14+B15+B16</f>
        <v>13514423</v>
      </c>
      <c r="C13" s="423">
        <f>C14+C15+C16</f>
        <v>14528154</v>
      </c>
      <c r="D13" s="423">
        <f>D14+D15+D16</f>
        <v>17988041</v>
      </c>
      <c r="E13" s="414">
        <f>D13-C13</f>
        <v>3459887</v>
      </c>
    </row>
    <row r="14" spans="1:5" ht="12.75">
      <c r="A14" s="317" t="s">
        <v>20</v>
      </c>
      <c r="B14" s="424">
        <v>7966690</v>
      </c>
      <c r="C14" s="425">
        <f>'Dochody wg §'!H71</f>
        <v>8078301</v>
      </c>
      <c r="D14" s="425">
        <f>Dochody!D34</f>
        <v>9876218</v>
      </c>
      <c r="E14" s="414">
        <f>D14-C14</f>
        <v>1797917</v>
      </c>
    </row>
    <row r="15" spans="1:5" ht="12.75">
      <c r="A15" s="317" t="s">
        <v>171</v>
      </c>
      <c r="B15" s="424">
        <v>4973768</v>
      </c>
      <c r="C15" s="425">
        <f>'Dochody wg §'!H73</f>
        <v>5773873</v>
      </c>
      <c r="D15" s="425">
        <f>Dochody!D35</f>
        <v>7381154</v>
      </c>
      <c r="E15" s="414">
        <f>D15-C15</f>
        <v>1607281</v>
      </c>
    </row>
    <row r="16" spans="1:5" ht="12.75">
      <c r="A16" s="318" t="s">
        <v>242</v>
      </c>
      <c r="B16" s="426">
        <v>573965</v>
      </c>
      <c r="C16" s="427">
        <f>'Dochody wg §'!H75</f>
        <v>675980</v>
      </c>
      <c r="D16" s="427">
        <f>Dochody!D36</f>
        <v>730669</v>
      </c>
      <c r="E16" s="414">
        <f>D16-C16</f>
        <v>54689</v>
      </c>
    </row>
    <row r="17" ht="12.75">
      <c r="A17" s="320"/>
    </row>
    <row r="20" spans="2:3" ht="12.75">
      <c r="B20" s="431" t="s">
        <v>118</v>
      </c>
      <c r="C20" s="434" t="s">
        <v>436</v>
      </c>
    </row>
    <row r="21" spans="1:3" ht="12.75">
      <c r="A21" s="433" t="str">
        <f>Wydatki!B283</f>
        <v>Wynagrodzenia</v>
      </c>
      <c r="B21" s="433">
        <f>Wydatki!C283</f>
        <v>15934739</v>
      </c>
      <c r="C21" s="432">
        <f>Wydatki!D283</f>
        <v>31</v>
      </c>
    </row>
    <row r="22" spans="1:3" ht="12.75">
      <c r="A22" s="433" t="str">
        <f>Wydatki!B284</f>
        <v>Wydatki bieżące</v>
      </c>
      <c r="B22" s="433">
        <f>Wydatki!C284</f>
        <v>19536592.34</v>
      </c>
      <c r="C22" s="432">
        <f>Wydatki!D284</f>
        <v>37</v>
      </c>
    </row>
    <row r="23" spans="1:3" ht="12.75">
      <c r="A23" s="433" t="str">
        <f>Wydatki!B285</f>
        <v>Rezerwa</v>
      </c>
      <c r="B23" s="433">
        <f>Wydatki!C285</f>
        <v>135000</v>
      </c>
      <c r="C23" s="432">
        <f>Wydatki!D285</f>
        <v>0</v>
      </c>
    </row>
    <row r="24" spans="1:3" ht="12.75">
      <c r="A24" s="433" t="str">
        <f>Wydatki!B286</f>
        <v>Obsługa długu</v>
      </c>
      <c r="B24" s="433">
        <f>Wydatki!C286</f>
        <v>420000</v>
      </c>
      <c r="C24" s="432">
        <f>Wydatki!D286</f>
        <v>1</v>
      </c>
    </row>
    <row r="25" spans="1:3" ht="12.75">
      <c r="A25" s="433" t="str">
        <f>Wydatki!B287</f>
        <v>Wydatki majątkowe</v>
      </c>
      <c r="B25" s="433">
        <f>Wydatki!C287</f>
        <v>16175682</v>
      </c>
      <c r="C25" s="432">
        <f>Wydatki!D287</f>
        <v>31</v>
      </c>
    </row>
    <row r="26" spans="1:3" ht="12.75">
      <c r="A26" s="91"/>
      <c r="B26" s="431">
        <f>SUM(B21:B25)</f>
        <v>52202013.34</v>
      </c>
      <c r="C26" s="120">
        <f>B26/38903082.33%</f>
        <v>134</v>
      </c>
    </row>
    <row r="30" spans="1:4" ht="12.75">
      <c r="A30" s="320" t="str">
        <f>Wydatki!B5</f>
        <v>Rolnictwo i łowiectwo</v>
      </c>
      <c r="B30" s="437"/>
      <c r="C30" s="437">
        <f>Wydatki!C5</f>
        <v>6400</v>
      </c>
      <c r="D30" s="437">
        <f>C30/38903082.33%</f>
        <v>0.02</v>
      </c>
    </row>
    <row r="31" spans="1:4" ht="12.75">
      <c r="A31" s="320" t="str">
        <f>Wydatki!B8</f>
        <v>Leśnictwo</v>
      </c>
      <c r="B31" s="437"/>
      <c r="C31" s="437">
        <f>Wydatki!C8</f>
        <v>46000</v>
      </c>
      <c r="D31" s="437">
        <f aca="true" t="shared" si="1" ref="D31:D51">C31/38903082.33%</f>
        <v>0.12</v>
      </c>
    </row>
    <row r="32" spans="1:4" ht="12.75">
      <c r="A32" s="320" t="str">
        <f>Wydatki!B13</f>
        <v>Wytwarzanie i zaopatryw w energię elekt, gaz, wodę</v>
      </c>
      <c r="B32" s="437"/>
      <c r="C32" s="438">
        <f>Wydatki!C13</f>
        <v>1996924</v>
      </c>
      <c r="D32" s="437">
        <f t="shared" si="1"/>
        <v>5.13</v>
      </c>
    </row>
    <row r="33" spans="1:4" ht="12.75">
      <c r="A33" s="320" t="str">
        <f>Wydatki!B23</f>
        <v>Handel</v>
      </c>
      <c r="B33" s="437"/>
      <c r="C33" s="438">
        <f>Wydatki!C23</f>
        <v>30000</v>
      </c>
      <c r="D33" s="437">
        <f t="shared" si="1"/>
        <v>0.08</v>
      </c>
    </row>
    <row r="34" spans="1:4" ht="12.75">
      <c r="A34" s="439" t="str">
        <f>Wydatki!B28</f>
        <v>Transport i łączność</v>
      </c>
      <c r="B34" s="440"/>
      <c r="C34" s="441">
        <f>Wydatki!C28</f>
        <v>3485236</v>
      </c>
      <c r="D34" s="440">
        <f t="shared" si="1"/>
        <v>8.96</v>
      </c>
    </row>
    <row r="35" spans="1:4" ht="12.75">
      <c r="A35" s="320" t="str">
        <f>Wydatki!B56</f>
        <v>Turystyka</v>
      </c>
      <c r="B35" s="437"/>
      <c r="C35" s="438">
        <f>Wydatki!C56</f>
        <v>507751</v>
      </c>
      <c r="D35" s="437">
        <f t="shared" si="1"/>
        <v>1.31</v>
      </c>
    </row>
    <row r="36" spans="1:4" ht="12.75">
      <c r="A36" s="439" t="str">
        <f>Wydatki!B65</f>
        <v>Gospodarka mieszkaniowa</v>
      </c>
      <c r="B36" s="440"/>
      <c r="C36" s="441">
        <f>Wydatki!C65</f>
        <v>1151980</v>
      </c>
      <c r="D36" s="440">
        <f t="shared" si="1"/>
        <v>2.96</v>
      </c>
    </row>
    <row r="37" spans="1:4" ht="12.75">
      <c r="A37" s="320" t="str">
        <f>Wydatki!B78</f>
        <v>Działalność usługowa</v>
      </c>
      <c r="B37" s="437"/>
      <c r="C37" s="438">
        <f>Wydatki!C78</f>
        <v>210000</v>
      </c>
      <c r="D37" s="437">
        <f t="shared" si="1"/>
        <v>0.54</v>
      </c>
    </row>
    <row r="38" spans="1:4" ht="12.75">
      <c r="A38" s="439" t="str">
        <f>Wydatki!B85</f>
        <v>Administracja publiczna</v>
      </c>
      <c r="B38" s="440"/>
      <c r="C38" s="441">
        <f>Wydatki!C85</f>
        <v>3746945</v>
      </c>
      <c r="D38" s="440">
        <f t="shared" si="1"/>
        <v>9.63</v>
      </c>
    </row>
    <row r="39" spans="1:4" ht="12.75">
      <c r="A39" s="320" t="str">
        <f>Wydatki!B104</f>
        <v>Urzędy naczel.organów władzy pań., kontroli i ochrony pr. oraz sąd.</v>
      </c>
      <c r="B39" s="437"/>
      <c r="C39" s="438">
        <f>Wydatki!C104</f>
        <v>2946</v>
      </c>
      <c r="D39" s="437">
        <f t="shared" si="1"/>
        <v>0.01</v>
      </c>
    </row>
    <row r="40" spans="1:4" ht="12.75">
      <c r="A40" s="320" t="str">
        <f>Wydatki!B109</f>
        <v>Bezpieczeństwo publiczne i ochrona przeciwpożar.</v>
      </c>
      <c r="B40" s="437"/>
      <c r="C40" s="438">
        <f>Wydatki!C109</f>
        <v>126000</v>
      </c>
      <c r="D40" s="437">
        <f t="shared" si="1"/>
        <v>0.32</v>
      </c>
    </row>
    <row r="41" spans="1:4" ht="12.75">
      <c r="A41" s="320" t="str">
        <f>Wydatki!B116</f>
        <v>Dochody od osób pr,osób fiz i od inn.jedn.niepos.osob.pr oraz wydatki związane z ich poborem</v>
      </c>
      <c r="B41" s="437"/>
      <c r="C41" s="438">
        <f>Wydatki!C116</f>
        <v>60000</v>
      </c>
      <c r="D41" s="437">
        <f t="shared" si="1"/>
        <v>0.15</v>
      </c>
    </row>
    <row r="42" spans="1:4" ht="12.75">
      <c r="A42" s="442" t="str">
        <f>Wydatki!B121</f>
        <v>Obsługa długu publicznego</v>
      </c>
      <c r="B42" s="440"/>
      <c r="C42" s="441">
        <f>Wydatki!C121</f>
        <v>420000</v>
      </c>
      <c r="D42" s="440">
        <f t="shared" si="1"/>
        <v>1.08</v>
      </c>
    </row>
    <row r="43" spans="1:4" ht="12.75">
      <c r="A43" s="320" t="str">
        <f>Wydatki!B124</f>
        <v>Różne rozliczenia</v>
      </c>
      <c r="B43" s="437"/>
      <c r="C43" s="438">
        <f>Wydatki!C124</f>
        <v>135000</v>
      </c>
      <c r="D43" s="437">
        <f t="shared" si="1"/>
        <v>0.35</v>
      </c>
    </row>
    <row r="44" spans="1:4" ht="12.75">
      <c r="A44" s="439" t="str">
        <f>Wydatki!B128</f>
        <v>Oświata i wychowanie</v>
      </c>
      <c r="B44" s="440"/>
      <c r="C44" s="441">
        <f>Wydatki!C128</f>
        <v>20035411.34</v>
      </c>
      <c r="D44" s="440">
        <f t="shared" si="1"/>
        <v>51.5</v>
      </c>
    </row>
    <row r="45" spans="1:4" ht="12.75">
      <c r="A45" s="320" t="str">
        <f>Wydatki!B170</f>
        <v>0chrona zdrowia</v>
      </c>
      <c r="B45" s="437"/>
      <c r="C45" s="438">
        <f>Wydatki!C170</f>
        <v>180000</v>
      </c>
      <c r="D45" s="437">
        <f t="shared" si="1"/>
        <v>0.46</v>
      </c>
    </row>
    <row r="46" spans="1:4" ht="12.75">
      <c r="A46" s="439" t="str">
        <f>Wydatki!B178</f>
        <v>Pomoc społeczna</v>
      </c>
      <c r="B46" s="440"/>
      <c r="C46" s="441">
        <f>Wydatki!C178</f>
        <v>9313012</v>
      </c>
      <c r="D46" s="440">
        <f t="shared" si="1"/>
        <v>23.94</v>
      </c>
    </row>
    <row r="47" spans="1:4" ht="12.75">
      <c r="A47" s="320" t="e">
        <f>Wydatki!#REF!</f>
        <v>#REF!</v>
      </c>
      <c r="B47" s="437"/>
      <c r="C47" s="438" t="e">
        <f>Wydatki!#REF!</f>
        <v>#REF!</v>
      </c>
      <c r="D47" s="437" t="e">
        <f t="shared" si="1"/>
        <v>#REF!</v>
      </c>
    </row>
    <row r="48" spans="1:4" ht="12.75">
      <c r="A48" s="439" t="str">
        <f>Wydatki!B207</f>
        <v>Edukacyjna opieka wychowawcza</v>
      </c>
      <c r="B48" s="440"/>
      <c r="C48" s="441">
        <f>Wydatki!C207</f>
        <v>272492</v>
      </c>
      <c r="D48" s="440">
        <f t="shared" si="1"/>
        <v>0.7</v>
      </c>
    </row>
    <row r="49" spans="1:4" ht="12.75">
      <c r="A49" s="439" t="str">
        <f>Wydatki!B216</f>
        <v>Gospodarka komunalna i ochrona środowiska</v>
      </c>
      <c r="B49" s="440"/>
      <c r="C49" s="441">
        <f>Wydatki!C216</f>
        <v>4102824</v>
      </c>
      <c r="D49" s="440">
        <f t="shared" si="1"/>
        <v>10.55</v>
      </c>
    </row>
    <row r="50" spans="1:4" ht="12.75">
      <c r="A50" s="439" t="str">
        <f>Wydatki!B254</f>
        <v>Kultura i ochrona dziedzictwa narodowego</v>
      </c>
      <c r="B50" s="440"/>
      <c r="C50" s="441">
        <f>Wydatki!C254</f>
        <v>1794290</v>
      </c>
      <c r="D50" s="440">
        <f t="shared" si="1"/>
        <v>4.61</v>
      </c>
    </row>
    <row r="51" spans="1:4" ht="12.75">
      <c r="A51" s="320" t="str">
        <f>Wydatki!B265</f>
        <v>Kultura fizyczna i sport</v>
      </c>
      <c r="B51" s="437"/>
      <c r="C51" s="438">
        <f>Wydatki!C265</f>
        <v>4578802</v>
      </c>
      <c r="D51" s="437">
        <f t="shared" si="1"/>
        <v>11.77</v>
      </c>
    </row>
    <row r="52" spans="3:4" ht="12.75">
      <c r="C52" s="436" t="e">
        <f>SUM(C30:C51)</f>
        <v>#REF!</v>
      </c>
      <c r="D52" s="435" t="e">
        <f>SUM(D30:D51)</f>
        <v>#REF!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7"/>
  <sheetViews>
    <sheetView showGridLines="0" workbookViewId="0" topLeftCell="A1">
      <selection activeCell="A27" sqref="A27:IV33"/>
    </sheetView>
  </sheetViews>
  <sheetFormatPr defaultColWidth="9.00390625" defaultRowHeight="12.75" customHeight="1"/>
  <cols>
    <col min="1" max="1" width="5.75390625" style="68" customWidth="1"/>
    <col min="2" max="2" width="47.75390625" style="3" customWidth="1"/>
    <col min="3" max="3" width="17.00390625" style="113" customWidth="1"/>
    <col min="4" max="16384" width="9.125" style="88" customWidth="1"/>
  </cols>
  <sheetData>
    <row r="1" ht="12.75" customHeight="1">
      <c r="C1" s="137" t="s">
        <v>159</v>
      </c>
    </row>
    <row r="2" spans="1:3" ht="12.75" customHeight="1">
      <c r="A2" s="693" t="s">
        <v>341</v>
      </c>
      <c r="B2" s="693"/>
      <c r="C2" s="693"/>
    </row>
    <row r="4" spans="1:3" ht="12.75" customHeight="1">
      <c r="A4" s="699" t="s">
        <v>326</v>
      </c>
      <c r="B4" s="701" t="s">
        <v>353</v>
      </c>
      <c r="C4" s="235" t="s">
        <v>521</v>
      </c>
    </row>
    <row r="5" spans="1:3" ht="12.75" customHeight="1">
      <c r="A5" s="700"/>
      <c r="B5" s="701"/>
      <c r="C5" s="236">
        <f>C6</f>
        <v>1291206.48</v>
      </c>
    </row>
    <row r="6" spans="1:3" ht="12.75" customHeight="1">
      <c r="A6" s="388"/>
      <c r="B6" s="23" t="s">
        <v>110</v>
      </c>
      <c r="C6" s="389">
        <f>C7+C13</f>
        <v>1291206.48</v>
      </c>
    </row>
    <row r="7" spans="1:3" ht="12.75" customHeight="1">
      <c r="A7" s="156">
        <v>992</v>
      </c>
      <c r="B7" s="16" t="s">
        <v>111</v>
      </c>
      <c r="C7" s="390">
        <f>SUM(C8:C12)</f>
        <v>708636</v>
      </c>
    </row>
    <row r="8" spans="1:3" ht="12.75" customHeight="1">
      <c r="A8" s="156"/>
      <c r="B8" s="18" t="s">
        <v>114</v>
      </c>
      <c r="C8" s="163">
        <v>214436</v>
      </c>
    </row>
    <row r="9" spans="1:3" ht="12.75" customHeight="1">
      <c r="A9" s="156"/>
      <c r="B9" s="18" t="s">
        <v>114</v>
      </c>
      <c r="C9" s="163">
        <v>35500</v>
      </c>
    </row>
    <row r="10" spans="1:3" ht="12.75" customHeight="1">
      <c r="A10" s="156"/>
      <c r="B10" s="18" t="s">
        <v>114</v>
      </c>
      <c r="C10" s="163">
        <f>27500*3</f>
        <v>82500</v>
      </c>
    </row>
    <row r="11" spans="1:3" ht="12.75" customHeight="1">
      <c r="A11" s="156"/>
      <c r="B11" s="18" t="s">
        <v>114</v>
      </c>
      <c r="C11" s="163">
        <v>16200</v>
      </c>
    </row>
    <row r="12" spans="1:3" ht="12.75" customHeight="1">
      <c r="A12" s="156"/>
      <c r="B12" s="18" t="s">
        <v>115</v>
      </c>
      <c r="C12" s="163">
        <v>360000</v>
      </c>
    </row>
    <row r="13" spans="1:3" ht="12.75" customHeight="1">
      <c r="A13" s="156">
        <v>992</v>
      </c>
      <c r="B13" s="16" t="s">
        <v>112</v>
      </c>
      <c r="C13" s="390">
        <f>SUM(C14:C15)</f>
        <v>582570.48</v>
      </c>
    </row>
    <row r="14" spans="1:3" ht="12.75" customHeight="1">
      <c r="A14" s="73"/>
      <c r="B14" s="18" t="s">
        <v>327</v>
      </c>
      <c r="C14" s="163">
        <v>98770.48</v>
      </c>
    </row>
    <row r="15" spans="1:3" ht="12.75" customHeight="1">
      <c r="A15" s="79"/>
      <c r="B15" s="21" t="s">
        <v>328</v>
      </c>
      <c r="C15" s="391">
        <f>33000+233000+234000-16200</f>
        <v>483800</v>
      </c>
    </row>
    <row r="16" ht="12.75" customHeight="1">
      <c r="C16" s="171"/>
    </row>
    <row r="17" spans="1:3" ht="12.75" customHeight="1">
      <c r="A17" s="701" t="s">
        <v>326</v>
      </c>
      <c r="B17" s="701" t="s">
        <v>354</v>
      </c>
      <c r="C17" s="235" t="s">
        <v>521</v>
      </c>
    </row>
    <row r="18" spans="1:3" ht="12.75" customHeight="1">
      <c r="A18" s="701"/>
      <c r="B18" s="701"/>
      <c r="C18" s="236">
        <f>C19</f>
        <v>17727626.88</v>
      </c>
    </row>
    <row r="19" spans="1:3" ht="12.75" customHeight="1">
      <c r="A19" s="97"/>
      <c r="B19" s="112" t="s">
        <v>356</v>
      </c>
      <c r="C19" s="168">
        <f>C20</f>
        <v>17727626.88</v>
      </c>
    </row>
    <row r="20" spans="1:3" ht="12.75" customHeight="1">
      <c r="A20" s="32">
        <v>952</v>
      </c>
      <c r="B20" s="48" t="s">
        <v>113</v>
      </c>
      <c r="C20" s="169">
        <f>C21</f>
        <v>17727626.88</v>
      </c>
    </row>
    <row r="21" spans="1:3" ht="12.75" customHeight="1">
      <c r="A21" s="92"/>
      <c r="B21" s="60" t="s">
        <v>116</v>
      </c>
      <c r="C21" s="170">
        <f>C35-C30-C31</f>
        <v>17727626.88</v>
      </c>
    </row>
    <row r="23" ht="12.75" customHeight="1" hidden="1">
      <c r="C23" s="113" t="e">
        <f>Wydatki!#REF!-Przychody!C5</f>
        <v>#REF!</v>
      </c>
    </row>
    <row r="24" ht="12.75" customHeight="1" hidden="1">
      <c r="C24" s="113" t="e">
        <f>#REF!</f>
        <v>#REF!</v>
      </c>
    </row>
    <row r="25" ht="12.75" customHeight="1" hidden="1">
      <c r="C25" s="113" t="e">
        <f>-C23-C24</f>
        <v>#REF!</v>
      </c>
    </row>
    <row r="26" spans="2:3" ht="12.75" customHeight="1">
      <c r="B26" s="585"/>
      <c r="C26" s="586"/>
    </row>
    <row r="27" spans="2:3" ht="12.75" customHeight="1" hidden="1">
      <c r="B27" s="585"/>
      <c r="C27" s="586"/>
    </row>
    <row r="28" spans="2:3" ht="12.75" customHeight="1" hidden="1">
      <c r="B28" s="585" t="s">
        <v>169</v>
      </c>
      <c r="C28" s="586">
        <f>Dochody!D63</f>
        <v>35765592.94</v>
      </c>
    </row>
    <row r="29" spans="2:3" ht="12.75" customHeight="1" hidden="1">
      <c r="B29" s="585" t="s">
        <v>119</v>
      </c>
      <c r="C29" s="586">
        <f>Wydatki!C273</f>
        <v>52202013.34</v>
      </c>
    </row>
    <row r="30" spans="2:3" ht="12.75" customHeight="1" hidden="1">
      <c r="B30" s="585" t="s">
        <v>405</v>
      </c>
      <c r="C30" s="586">
        <f>C28-C29</f>
        <v>-16436420.4</v>
      </c>
    </row>
    <row r="31" spans="2:3" ht="12.75" customHeight="1" hidden="1">
      <c r="B31" s="585" t="s">
        <v>406</v>
      </c>
      <c r="C31" s="586">
        <f>-C6</f>
        <v>-1291206.48</v>
      </c>
    </row>
    <row r="32" spans="2:3" ht="12.75" customHeight="1" hidden="1">
      <c r="B32" s="585" t="s">
        <v>642</v>
      </c>
      <c r="C32" s="586">
        <f>C30+C31</f>
        <v>-17727626.88</v>
      </c>
    </row>
    <row r="33" spans="2:3" ht="12.75" customHeight="1" hidden="1">
      <c r="B33" s="585"/>
      <c r="C33" s="586"/>
    </row>
    <row r="34" spans="2:3" ht="12.75" customHeight="1">
      <c r="B34" s="585"/>
      <c r="C34" s="586"/>
    </row>
    <row r="35" spans="2:3" ht="12.75" customHeight="1">
      <c r="B35" s="585"/>
      <c r="C35" s="586"/>
    </row>
    <row r="36" spans="2:3" ht="12.75" customHeight="1">
      <c r="B36" s="585"/>
      <c r="C36" s="586"/>
    </row>
    <row r="37" spans="2:3" ht="12.75" customHeight="1">
      <c r="B37" s="585"/>
      <c r="C37" s="586"/>
    </row>
  </sheetData>
  <mergeCells count="5">
    <mergeCell ref="A2:C2"/>
    <mergeCell ref="A4:A5"/>
    <mergeCell ref="B4:B5"/>
    <mergeCell ref="A17:A18"/>
    <mergeCell ref="B17:B1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4"/>
  <sheetViews>
    <sheetView showGridLines="0" workbookViewId="0" topLeftCell="A1">
      <selection activeCell="D20" sqref="D20"/>
    </sheetView>
  </sheetViews>
  <sheetFormatPr defaultColWidth="9.00390625" defaultRowHeight="12.75" customHeight="1"/>
  <cols>
    <col min="1" max="1" width="4.625" style="226" customWidth="1"/>
    <col min="2" max="2" width="6.25390625" style="220" customWidth="1"/>
    <col min="3" max="3" width="53.00390625" style="101" customWidth="1"/>
    <col min="4" max="4" width="14.75390625" style="144" customWidth="1"/>
    <col min="5" max="5" width="21.75390625" style="99" customWidth="1"/>
    <col min="6" max="16384" width="9.125" style="66" customWidth="1"/>
  </cols>
  <sheetData>
    <row r="1" ht="12.75" customHeight="1">
      <c r="D1" s="137" t="s">
        <v>160</v>
      </c>
    </row>
    <row r="2" ht="12.75" customHeight="1">
      <c r="D2" s="137"/>
    </row>
    <row r="3" spans="1:5" s="110" customFormat="1" ht="12.75" customHeight="1">
      <c r="A3" s="758" t="s">
        <v>342</v>
      </c>
      <c r="B3" s="758"/>
      <c r="C3" s="758"/>
      <c r="D3" s="758"/>
      <c r="E3" s="111"/>
    </row>
    <row r="4" spans="1:5" s="110" customFormat="1" ht="12.75" customHeight="1">
      <c r="A4" s="93"/>
      <c r="B4" s="93"/>
      <c r="C4" s="93"/>
      <c r="D4" s="93"/>
      <c r="E4" s="111"/>
    </row>
    <row r="5" spans="1:4" ht="13.5" customHeight="1">
      <c r="A5" s="760" t="s">
        <v>91</v>
      </c>
      <c r="B5" s="761"/>
      <c r="C5" s="761"/>
      <c r="D5" s="394"/>
    </row>
    <row r="6" spans="1:4" ht="13.5" customHeight="1">
      <c r="A6" s="237" t="s">
        <v>92</v>
      </c>
      <c r="B6" s="277" t="s">
        <v>93</v>
      </c>
      <c r="C6" s="279" t="s">
        <v>94</v>
      </c>
      <c r="D6" s="238" t="s">
        <v>521</v>
      </c>
    </row>
    <row r="7" spans="1:5" s="67" customFormat="1" ht="13.5" customHeight="1">
      <c r="A7" s="759">
        <v>750</v>
      </c>
      <c r="B7" s="221"/>
      <c r="C7" s="102" t="s">
        <v>7</v>
      </c>
      <c r="D7" s="157">
        <f>D8</f>
        <v>136768</v>
      </c>
      <c r="E7" s="100"/>
    </row>
    <row r="8" spans="1:4" ht="13.5" customHeight="1">
      <c r="A8" s="743"/>
      <c r="B8" s="172">
        <v>75011</v>
      </c>
      <c r="C8" s="103" t="s">
        <v>95</v>
      </c>
      <c r="D8" s="147">
        <f>D9</f>
        <v>136768</v>
      </c>
    </row>
    <row r="9" spans="1:4" ht="13.5" customHeight="1">
      <c r="A9" s="743"/>
      <c r="B9" s="172"/>
      <c r="C9" s="103" t="s">
        <v>74</v>
      </c>
      <c r="D9" s="147">
        <f>D10+D11</f>
        <v>136768</v>
      </c>
    </row>
    <row r="10" spans="1:4" ht="13.5" customHeight="1">
      <c r="A10" s="743"/>
      <c r="B10" s="172"/>
      <c r="C10" s="103" t="s">
        <v>75</v>
      </c>
      <c r="D10" s="147">
        <v>126000</v>
      </c>
    </row>
    <row r="11" spans="1:4" ht="13.5" customHeight="1">
      <c r="A11" s="743"/>
      <c r="B11" s="172"/>
      <c r="C11" s="103" t="s">
        <v>73</v>
      </c>
      <c r="D11" s="147">
        <f>D38-D10</f>
        <v>10768</v>
      </c>
    </row>
    <row r="12" spans="1:4" ht="13.5" customHeight="1">
      <c r="A12" s="742">
        <v>751</v>
      </c>
      <c r="B12" s="222"/>
      <c r="C12" s="29" t="s">
        <v>264</v>
      </c>
      <c r="D12" s="160">
        <f>D13</f>
        <v>2946</v>
      </c>
    </row>
    <row r="13" spans="1:4" ht="13.5" customHeight="1">
      <c r="A13" s="743"/>
      <c r="B13" s="223">
        <v>75101</v>
      </c>
      <c r="C13" s="32" t="s">
        <v>264</v>
      </c>
      <c r="D13" s="161">
        <f>D14</f>
        <v>2946</v>
      </c>
    </row>
    <row r="14" spans="1:4" ht="13.5" customHeight="1">
      <c r="A14" s="743"/>
      <c r="B14" s="223"/>
      <c r="C14" s="167" t="s">
        <v>24</v>
      </c>
      <c r="D14" s="146">
        <f>D16+D15</f>
        <v>2946</v>
      </c>
    </row>
    <row r="15" spans="1:4" ht="13.5" customHeight="1">
      <c r="A15" s="150"/>
      <c r="B15" s="223"/>
      <c r="C15" s="167" t="s">
        <v>72</v>
      </c>
      <c r="D15" s="146">
        <f>Wydatki!C107</f>
        <v>1246</v>
      </c>
    </row>
    <row r="16" spans="1:5" ht="13.5" customHeight="1">
      <c r="A16" s="156"/>
      <c r="B16" s="223"/>
      <c r="C16" s="344" t="s">
        <v>73</v>
      </c>
      <c r="D16" s="145">
        <f>Wydatki!C108</f>
        <v>1700</v>
      </c>
      <c r="E16" s="6"/>
    </row>
    <row r="17" spans="1:5" ht="13.5" customHeight="1">
      <c r="A17" s="742">
        <v>852</v>
      </c>
      <c r="B17" s="221"/>
      <c r="C17" s="29" t="s">
        <v>106</v>
      </c>
      <c r="D17" s="157">
        <f>D18+D26+D28+D30+D22</f>
        <v>5975280</v>
      </c>
      <c r="E17" s="6"/>
    </row>
    <row r="18" spans="1:5" ht="13.5" customHeight="1">
      <c r="A18" s="743"/>
      <c r="B18" s="172">
        <v>85203</v>
      </c>
      <c r="C18" s="32" t="s">
        <v>48</v>
      </c>
      <c r="D18" s="147">
        <f>D19</f>
        <v>395500</v>
      </c>
      <c r="E18" s="6"/>
    </row>
    <row r="19" spans="1:5" ht="13.5" customHeight="1">
      <c r="A19" s="743"/>
      <c r="B19" s="172"/>
      <c r="C19" s="32" t="s">
        <v>24</v>
      </c>
      <c r="D19" s="147">
        <f>D20+D21</f>
        <v>395500</v>
      </c>
      <c r="E19" s="6"/>
    </row>
    <row r="20" spans="1:5" ht="13.5" customHeight="1">
      <c r="A20" s="743"/>
      <c r="B20" s="172"/>
      <c r="C20" s="32" t="s">
        <v>72</v>
      </c>
      <c r="D20" s="138">
        <f>Wydatki!C183-11400</f>
        <v>274000</v>
      </c>
      <c r="E20" s="6"/>
    </row>
    <row r="21" spans="1:5" ht="13.5" customHeight="1">
      <c r="A21" s="743"/>
      <c r="B21" s="172"/>
      <c r="C21" s="32" t="s">
        <v>73</v>
      </c>
      <c r="D21" s="138">
        <f>Wydatki!C184</f>
        <v>121500</v>
      </c>
      <c r="E21" s="6"/>
    </row>
    <row r="22" spans="1:4" ht="13.5" customHeight="1">
      <c r="A22" s="743"/>
      <c r="B22" s="172">
        <v>85212</v>
      </c>
      <c r="C22" s="32" t="s">
        <v>235</v>
      </c>
      <c r="D22" s="147">
        <f>D23</f>
        <v>5247300</v>
      </c>
    </row>
    <row r="23" spans="1:4" ht="13.5" customHeight="1">
      <c r="A23" s="743"/>
      <c r="B23" s="172"/>
      <c r="C23" s="32" t="s">
        <v>24</v>
      </c>
      <c r="D23" s="147">
        <f>D24+D25</f>
        <v>5247300</v>
      </c>
    </row>
    <row r="24" spans="1:4" ht="13.5" customHeight="1">
      <c r="A24" s="743"/>
      <c r="B24" s="172"/>
      <c r="C24" s="32" t="s">
        <v>72</v>
      </c>
      <c r="D24" s="173">
        <f>Wydatki!C187</f>
        <v>138400</v>
      </c>
    </row>
    <row r="25" spans="1:4" ht="13.5" customHeight="1">
      <c r="A25" s="743"/>
      <c r="B25" s="172"/>
      <c r="C25" s="32" t="s">
        <v>73</v>
      </c>
      <c r="D25" s="173">
        <f>Wydatki!C188</f>
        <v>5108900</v>
      </c>
    </row>
    <row r="26" spans="1:4" ht="13.5" customHeight="1">
      <c r="A26" s="743"/>
      <c r="B26" s="172">
        <v>85213</v>
      </c>
      <c r="C26" s="32" t="s">
        <v>49</v>
      </c>
      <c r="D26" s="147">
        <f>D27</f>
        <v>28480</v>
      </c>
    </row>
    <row r="27" spans="1:4" ht="13.5" customHeight="1">
      <c r="A27" s="743"/>
      <c r="B27" s="172"/>
      <c r="C27" s="32" t="s">
        <v>24</v>
      </c>
      <c r="D27" s="174">
        <f>Wydatki!C190</f>
        <v>28480</v>
      </c>
    </row>
    <row r="28" spans="1:4" ht="13.5" customHeight="1">
      <c r="A28" s="743"/>
      <c r="B28" s="172">
        <v>85214</v>
      </c>
      <c r="C28" s="32" t="s">
        <v>96</v>
      </c>
      <c r="D28" s="147">
        <f>D29</f>
        <v>213900</v>
      </c>
    </row>
    <row r="29" spans="1:4" ht="13.5" customHeight="1">
      <c r="A29" s="743"/>
      <c r="B29" s="172"/>
      <c r="C29" s="32" t="s">
        <v>74</v>
      </c>
      <c r="D29" s="174">
        <f>Wydatki!C194</f>
        <v>213900</v>
      </c>
    </row>
    <row r="30" spans="1:4" ht="13.5" customHeight="1">
      <c r="A30" s="743"/>
      <c r="B30" s="172">
        <v>85228</v>
      </c>
      <c r="C30" s="32" t="s">
        <v>53</v>
      </c>
      <c r="D30" s="147">
        <f>D31</f>
        <v>90100</v>
      </c>
    </row>
    <row r="31" spans="1:5" s="67" customFormat="1" ht="13.5" customHeight="1">
      <c r="A31" s="743"/>
      <c r="B31" s="172"/>
      <c r="C31" s="32" t="s">
        <v>74</v>
      </c>
      <c r="D31" s="175">
        <f>Wydatki!C203</f>
        <v>90100</v>
      </c>
      <c r="E31" s="100"/>
    </row>
    <row r="32" spans="1:4" ht="13.5" customHeight="1">
      <c r="A32" s="241" t="s">
        <v>98</v>
      </c>
      <c r="B32" s="242"/>
      <c r="C32" s="243" t="s">
        <v>99</v>
      </c>
      <c r="D32" s="244">
        <f>D17+D12+D7</f>
        <v>6114994</v>
      </c>
    </row>
    <row r="33" spans="1:3" ht="13.5" customHeight="1">
      <c r="A33" s="91"/>
      <c r="B33" s="131"/>
      <c r="C33" s="68"/>
    </row>
    <row r="34" spans="1:5" s="67" customFormat="1" ht="13.5" customHeight="1">
      <c r="A34" s="760" t="s">
        <v>100</v>
      </c>
      <c r="B34" s="761"/>
      <c r="C34" s="761"/>
      <c r="D34" s="398"/>
      <c r="E34" s="100"/>
    </row>
    <row r="35" spans="1:4" ht="13.5" customHeight="1">
      <c r="A35" s="395" t="s">
        <v>92</v>
      </c>
      <c r="B35" s="396" t="s">
        <v>161</v>
      </c>
      <c r="C35" s="396" t="s">
        <v>94</v>
      </c>
      <c r="D35" s="397" t="s">
        <v>521</v>
      </c>
    </row>
    <row r="36" spans="1:4" ht="13.5" customHeight="1">
      <c r="A36" s="762">
        <v>750</v>
      </c>
      <c r="B36" s="224"/>
      <c r="C36" s="106" t="s">
        <v>7</v>
      </c>
      <c r="D36" s="239">
        <f>D37</f>
        <v>136768</v>
      </c>
    </row>
    <row r="37" spans="1:4" ht="13.5" customHeight="1">
      <c r="A37" s="762"/>
      <c r="B37" s="225">
        <v>75011</v>
      </c>
      <c r="C37" s="107" t="s">
        <v>95</v>
      </c>
      <c r="D37" s="147">
        <f>D38</f>
        <v>136768</v>
      </c>
    </row>
    <row r="38" spans="1:5" s="67" customFormat="1" ht="13.5" customHeight="1">
      <c r="A38" s="762"/>
      <c r="B38" s="225">
        <v>2010</v>
      </c>
      <c r="C38" s="107" t="s">
        <v>101</v>
      </c>
      <c r="D38" s="147">
        <v>136768</v>
      </c>
      <c r="E38" s="100"/>
    </row>
    <row r="39" spans="1:4" ht="13.5" customHeight="1">
      <c r="A39" s="742">
        <v>751</v>
      </c>
      <c r="B39" s="221"/>
      <c r="C39" s="29" t="s">
        <v>264</v>
      </c>
      <c r="D39" s="157">
        <f>D40</f>
        <v>2946</v>
      </c>
    </row>
    <row r="40" spans="1:4" ht="13.5" customHeight="1">
      <c r="A40" s="743"/>
      <c r="B40" s="172">
        <v>75101</v>
      </c>
      <c r="C40" s="32" t="s">
        <v>264</v>
      </c>
      <c r="D40" s="147">
        <f>D41</f>
        <v>2946</v>
      </c>
    </row>
    <row r="41" spans="1:4" ht="13.5" customHeight="1">
      <c r="A41" s="743"/>
      <c r="B41" s="172">
        <v>2010</v>
      </c>
      <c r="C41" s="103" t="s">
        <v>101</v>
      </c>
      <c r="D41" s="147">
        <v>2946</v>
      </c>
    </row>
    <row r="42" spans="1:4" ht="13.5" customHeight="1">
      <c r="A42" s="742">
        <v>852</v>
      </c>
      <c r="B42" s="221"/>
      <c r="C42" s="108" t="s">
        <v>106</v>
      </c>
      <c r="D42" s="157">
        <f>D43+D47+D49+D51+D45</f>
        <v>5975280</v>
      </c>
    </row>
    <row r="43" spans="1:4" ht="13.5" customHeight="1">
      <c r="A43" s="743"/>
      <c r="B43" s="172">
        <v>85203</v>
      </c>
      <c r="C43" s="109" t="s">
        <v>48</v>
      </c>
      <c r="D43" s="147">
        <f>D44</f>
        <v>395500</v>
      </c>
    </row>
    <row r="44" spans="1:4" ht="13.5" customHeight="1">
      <c r="A44" s="743"/>
      <c r="B44" s="172">
        <v>2010</v>
      </c>
      <c r="C44" s="109" t="s">
        <v>101</v>
      </c>
      <c r="D44" s="147">
        <v>395500</v>
      </c>
    </row>
    <row r="45" spans="1:4" ht="13.5" customHeight="1">
      <c r="A45" s="743"/>
      <c r="B45" s="172">
        <v>85212</v>
      </c>
      <c r="C45" s="109" t="s">
        <v>235</v>
      </c>
      <c r="D45" s="147">
        <f>D46</f>
        <v>5247300</v>
      </c>
    </row>
    <row r="46" spans="1:4" ht="13.5" customHeight="1">
      <c r="A46" s="743"/>
      <c r="B46" s="172">
        <v>2010</v>
      </c>
      <c r="C46" s="109" t="s">
        <v>101</v>
      </c>
      <c r="D46" s="147">
        <v>5247300</v>
      </c>
    </row>
    <row r="47" spans="1:4" ht="13.5" customHeight="1">
      <c r="A47" s="743"/>
      <c r="B47" s="172">
        <v>85213</v>
      </c>
      <c r="C47" s="109" t="s">
        <v>49</v>
      </c>
      <c r="D47" s="147">
        <f>D48</f>
        <v>28480</v>
      </c>
    </row>
    <row r="48" spans="1:4" ht="13.5" customHeight="1">
      <c r="A48" s="743"/>
      <c r="B48" s="172">
        <v>2010</v>
      </c>
      <c r="C48" s="109" t="s">
        <v>101</v>
      </c>
      <c r="D48" s="147">
        <v>28480</v>
      </c>
    </row>
    <row r="49" spans="1:4" ht="13.5" customHeight="1">
      <c r="A49" s="743"/>
      <c r="B49" s="172">
        <v>85214</v>
      </c>
      <c r="C49" s="109" t="s">
        <v>102</v>
      </c>
      <c r="D49" s="147">
        <f>D50</f>
        <v>213900</v>
      </c>
    </row>
    <row r="50" spans="1:4" ht="13.5" customHeight="1">
      <c r="A50" s="743"/>
      <c r="B50" s="172">
        <v>2010</v>
      </c>
      <c r="C50" s="109" t="s">
        <v>101</v>
      </c>
      <c r="D50" s="147">
        <v>213900</v>
      </c>
    </row>
    <row r="51" spans="1:4" ht="13.5" customHeight="1">
      <c r="A51" s="743"/>
      <c r="B51" s="172">
        <v>85228</v>
      </c>
      <c r="C51" s="109" t="s">
        <v>53</v>
      </c>
      <c r="D51" s="147">
        <f>D52</f>
        <v>90100</v>
      </c>
    </row>
    <row r="52" spans="1:5" s="67" customFormat="1" ht="13.5" customHeight="1">
      <c r="A52" s="743"/>
      <c r="B52" s="172">
        <v>2010</v>
      </c>
      <c r="C52" s="109" t="s">
        <v>101</v>
      </c>
      <c r="D52" s="147">
        <v>90100</v>
      </c>
      <c r="E52" s="100"/>
    </row>
    <row r="53" spans="1:4" ht="13.5" customHeight="1">
      <c r="A53" s="241" t="s">
        <v>98</v>
      </c>
      <c r="B53" s="242"/>
      <c r="C53" s="243" t="s">
        <v>103</v>
      </c>
      <c r="D53" s="244">
        <f>D42+D39+D36</f>
        <v>6114994</v>
      </c>
    </row>
    <row r="54" ht="12.75" customHeight="1">
      <c r="D54" s="144">
        <f>D32-D53</f>
        <v>0</v>
      </c>
    </row>
  </sheetData>
  <mergeCells count="9">
    <mergeCell ref="A34:C34"/>
    <mergeCell ref="A39:A41"/>
    <mergeCell ref="A42:A52"/>
    <mergeCell ref="A36:A38"/>
    <mergeCell ref="A3:D3"/>
    <mergeCell ref="A12:A14"/>
    <mergeCell ref="A17:A31"/>
    <mergeCell ref="A7:A11"/>
    <mergeCell ref="A5:C5"/>
  </mergeCells>
  <printOptions/>
  <pageMargins left="0.72" right="0.22" top="0.31" bottom="0.66" header="0.27" footer="0.4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8"/>
  <sheetViews>
    <sheetView showGridLines="0" workbookViewId="0" topLeftCell="A1">
      <selection activeCell="D27" sqref="D27"/>
    </sheetView>
  </sheetViews>
  <sheetFormatPr defaultColWidth="9.00390625" defaultRowHeight="12.75"/>
  <cols>
    <col min="1" max="1" width="4.125" style="91" customWidth="1"/>
    <col min="2" max="2" width="6.125" style="91" customWidth="1"/>
    <col min="3" max="3" width="54.125" style="68" customWidth="1"/>
    <col min="4" max="4" width="13.875" style="139" customWidth="1"/>
    <col min="5" max="16384" width="9.125" style="1" customWidth="1"/>
  </cols>
  <sheetData>
    <row r="1" spans="1:4" ht="14.25">
      <c r="A1" s="725" t="s">
        <v>162</v>
      </c>
      <c r="B1" s="725"/>
      <c r="C1" s="725"/>
      <c r="D1" s="165"/>
    </row>
    <row r="2" spans="1:9" ht="27" customHeight="1">
      <c r="A2" s="763" t="s">
        <v>355</v>
      </c>
      <c r="B2" s="763"/>
      <c r="C2" s="763"/>
      <c r="D2" s="763"/>
      <c r="E2" s="227"/>
      <c r="F2" s="227"/>
      <c r="G2" s="227"/>
      <c r="H2" s="227"/>
      <c r="I2" s="227"/>
    </row>
    <row r="3" spans="1:4" ht="6.75" customHeight="1">
      <c r="A3" s="118"/>
      <c r="B3" s="118"/>
      <c r="C3" s="117"/>
      <c r="D3" s="177"/>
    </row>
    <row r="4" spans="1:4" ht="14.25">
      <c r="A4" s="760" t="s">
        <v>169</v>
      </c>
      <c r="B4" s="767"/>
      <c r="C4" s="278" t="s">
        <v>94</v>
      </c>
      <c r="D4" s="238" t="s">
        <v>521</v>
      </c>
    </row>
    <row r="5" spans="1:4" ht="14.25">
      <c r="A5" s="241" t="s">
        <v>92</v>
      </c>
      <c r="B5" s="250" t="s">
        <v>117</v>
      </c>
      <c r="C5" s="250" t="s">
        <v>2</v>
      </c>
      <c r="D5" s="251" t="s">
        <v>118</v>
      </c>
    </row>
    <row r="6" spans="1:4" ht="14.25">
      <c r="A6" s="765">
        <v>921</v>
      </c>
      <c r="B6" s="392"/>
      <c r="C6" s="97" t="s">
        <v>11</v>
      </c>
      <c r="D6" s="143">
        <f>D7+D9</f>
        <v>15000</v>
      </c>
    </row>
    <row r="7" spans="1:4" ht="14.25">
      <c r="A7" s="764"/>
      <c r="B7" s="126">
        <v>92116</v>
      </c>
      <c r="C7" s="32" t="s">
        <v>468</v>
      </c>
      <c r="D7" s="141">
        <v>10000</v>
      </c>
    </row>
    <row r="8" spans="1:4" ht="14.25">
      <c r="A8" s="764"/>
      <c r="B8" s="126"/>
      <c r="C8" s="32" t="s">
        <v>469</v>
      </c>
      <c r="D8" s="140"/>
    </row>
    <row r="9" spans="1:4" ht="14.25">
      <c r="A9" s="764"/>
      <c r="B9" s="126">
        <v>92195</v>
      </c>
      <c r="C9" s="32" t="s">
        <v>170</v>
      </c>
      <c r="D9" s="141">
        <v>5000</v>
      </c>
    </row>
    <row r="10" spans="1:4" ht="27.75" customHeight="1">
      <c r="A10" s="766"/>
      <c r="B10" s="393"/>
      <c r="C10" s="92" t="s">
        <v>266</v>
      </c>
      <c r="D10" s="142"/>
    </row>
    <row r="11" spans="1:4" ht="14.25">
      <c r="A11" s="252"/>
      <c r="B11" s="253"/>
      <c r="C11" s="243" t="s">
        <v>12</v>
      </c>
      <c r="D11" s="254">
        <f>D6</f>
        <v>15000</v>
      </c>
    </row>
    <row r="12" spans="1:4" ht="7.5" customHeight="1">
      <c r="A12" s="126"/>
      <c r="B12" s="126"/>
      <c r="C12" s="102"/>
      <c r="D12" s="178"/>
    </row>
    <row r="13" spans="1:4" ht="14.25">
      <c r="A13" s="760" t="s">
        <v>119</v>
      </c>
      <c r="B13" s="767"/>
      <c r="C13" s="250" t="s">
        <v>94</v>
      </c>
      <c r="D13" s="240" t="s">
        <v>521</v>
      </c>
    </row>
    <row r="14" spans="1:9" ht="14.25">
      <c r="A14" s="241" t="s">
        <v>92</v>
      </c>
      <c r="B14" s="228" t="s">
        <v>120</v>
      </c>
      <c r="C14" s="241" t="s">
        <v>2</v>
      </c>
      <c r="D14" s="251" t="s">
        <v>118</v>
      </c>
      <c r="E14" s="302"/>
      <c r="F14" s="302"/>
      <c r="G14" s="302"/>
      <c r="H14" s="302"/>
      <c r="I14" s="302"/>
    </row>
    <row r="15" spans="1:9" ht="14.25">
      <c r="A15" s="764">
        <v>851</v>
      </c>
      <c r="B15" s="119"/>
      <c r="C15" s="107" t="s">
        <v>141</v>
      </c>
      <c r="D15" s="179">
        <f>D16</f>
        <v>10000</v>
      </c>
      <c r="E15" s="303"/>
      <c r="F15" s="304"/>
      <c r="G15" s="768"/>
      <c r="H15" s="768"/>
      <c r="I15" s="302"/>
    </row>
    <row r="16" spans="1:9" ht="14.25">
      <c r="A16" s="764"/>
      <c r="B16" s="119">
        <v>85154</v>
      </c>
      <c r="C16" s="107" t="s">
        <v>142</v>
      </c>
      <c r="D16" s="179">
        <f>D17</f>
        <v>10000</v>
      </c>
      <c r="E16" s="303"/>
      <c r="F16" s="304"/>
      <c r="G16" s="768"/>
      <c r="H16" s="768"/>
      <c r="I16" s="302"/>
    </row>
    <row r="17" spans="1:9" ht="40.5" customHeight="1">
      <c r="A17" s="764"/>
      <c r="B17" s="119"/>
      <c r="C17" s="257" t="s">
        <v>307</v>
      </c>
      <c r="D17" s="179">
        <f>Wydatki!C175</f>
        <v>10000</v>
      </c>
      <c r="E17" s="302"/>
      <c r="F17" s="302"/>
      <c r="G17" s="302"/>
      <c r="H17" s="302"/>
      <c r="I17" s="302"/>
    </row>
    <row r="18" spans="1:4" ht="13.5" customHeight="1">
      <c r="A18" s="98"/>
      <c r="B18" s="119"/>
      <c r="C18" s="32" t="s">
        <v>470</v>
      </c>
      <c r="D18" s="163"/>
    </row>
    <row r="19" spans="1:6" ht="14.25">
      <c r="A19" s="252"/>
      <c r="B19" s="253"/>
      <c r="C19" s="243" t="s">
        <v>12</v>
      </c>
      <c r="D19" s="254">
        <f>D15</f>
        <v>10000</v>
      </c>
      <c r="F19" s="121"/>
    </row>
    <row r="21" spans="1:7" ht="14.25">
      <c r="A21" s="755" t="s">
        <v>163</v>
      </c>
      <c r="B21" s="755"/>
      <c r="C21" s="755"/>
      <c r="D21" s="91"/>
      <c r="G21" s="7"/>
    </row>
    <row r="22" spans="1:7" ht="15.75">
      <c r="A22" s="693" t="s">
        <v>121</v>
      </c>
      <c r="B22" s="693"/>
      <c r="C22" s="693"/>
      <c r="D22" s="693"/>
      <c r="E22" s="94"/>
      <c r="F22" s="94"/>
      <c r="G22" s="94"/>
    </row>
    <row r="23" spans="1:7" ht="6" customHeight="1">
      <c r="A23" s="94"/>
      <c r="B23" s="94"/>
      <c r="C23" s="94"/>
      <c r="D23" s="180"/>
      <c r="E23" s="94"/>
      <c r="F23" s="94"/>
      <c r="G23" s="94"/>
    </row>
    <row r="24" spans="1:7" ht="15.75">
      <c r="A24" s="760" t="s">
        <v>119</v>
      </c>
      <c r="B24" s="767"/>
      <c r="C24" s="228" t="s">
        <v>94</v>
      </c>
      <c r="D24" s="238" t="s">
        <v>521</v>
      </c>
      <c r="E24" s="94"/>
      <c r="F24" s="94"/>
      <c r="G24" s="94"/>
    </row>
    <row r="25" spans="1:7" ht="14.25">
      <c r="A25" s="241" t="s">
        <v>92</v>
      </c>
      <c r="B25" s="255" t="s">
        <v>120</v>
      </c>
      <c r="C25" s="345" t="s">
        <v>271</v>
      </c>
      <c r="D25" s="256">
        <f>D26+D27+D28+D29</f>
        <v>1502762.34</v>
      </c>
      <c r="E25" s="7"/>
      <c r="F25" s="7"/>
      <c r="G25" s="7"/>
    </row>
    <row r="26" spans="1:7" ht="14.25">
      <c r="A26" s="123" t="s">
        <v>336</v>
      </c>
      <c r="B26" s="132" t="s">
        <v>337</v>
      </c>
      <c r="C26" s="121" t="s">
        <v>268</v>
      </c>
      <c r="D26" s="181">
        <v>801000</v>
      </c>
      <c r="E26" s="4"/>
      <c r="F26" s="4"/>
      <c r="G26" s="4"/>
    </row>
    <row r="27" spans="1:7" ht="14.25">
      <c r="A27" s="84" t="s">
        <v>336</v>
      </c>
      <c r="B27" s="133" t="s">
        <v>337</v>
      </c>
      <c r="C27" s="121" t="s">
        <v>267</v>
      </c>
      <c r="D27" s="147">
        <f>1322407.34-801000+40475</f>
        <v>561882.34</v>
      </c>
      <c r="E27" s="4"/>
      <c r="F27" s="4"/>
      <c r="G27" s="4"/>
    </row>
    <row r="28" spans="1:7" ht="14.25">
      <c r="A28" s="84" t="s">
        <v>338</v>
      </c>
      <c r="B28" s="133" t="s">
        <v>339</v>
      </c>
      <c r="C28" s="121" t="s">
        <v>270</v>
      </c>
      <c r="D28" s="147">
        <f>Wydatki!C264</f>
        <v>70000</v>
      </c>
      <c r="E28" s="4"/>
      <c r="F28" s="4"/>
      <c r="G28" s="4"/>
    </row>
    <row r="29" spans="1:7" ht="14.25">
      <c r="A29" s="164">
        <v>700</v>
      </c>
      <c r="B29" s="176">
        <v>70004</v>
      </c>
      <c r="C29" s="122" t="s">
        <v>269</v>
      </c>
      <c r="D29" s="182">
        <f>Wydatki!C67</f>
        <v>69880</v>
      </c>
      <c r="E29" s="4"/>
      <c r="F29" s="4"/>
      <c r="G29" s="4"/>
    </row>
    <row r="30" spans="1:7" ht="14.25">
      <c r="A30" s="121"/>
      <c r="B30" s="7"/>
      <c r="C30" s="6"/>
      <c r="D30" s="144"/>
      <c r="E30" s="7"/>
      <c r="F30" s="7"/>
      <c r="G30" s="7"/>
    </row>
    <row r="31" spans="2:4" ht="14.25">
      <c r="B31" s="68"/>
      <c r="D31" s="91" t="s">
        <v>164</v>
      </c>
    </row>
    <row r="32" spans="2:6" ht="15.75">
      <c r="B32" s="693" t="s">
        <v>122</v>
      </c>
      <c r="C32" s="693"/>
      <c r="D32" s="37"/>
      <c r="E32" s="37"/>
      <c r="F32" s="37"/>
    </row>
    <row r="33" spans="2:6" ht="4.5" customHeight="1">
      <c r="B33" s="94"/>
      <c r="C33" s="94"/>
      <c r="D33" s="180"/>
      <c r="E33" s="37"/>
      <c r="F33" s="37"/>
    </row>
    <row r="34" spans="1:6" ht="14.25">
      <c r="A34" s="760" t="s">
        <v>119</v>
      </c>
      <c r="B34" s="767"/>
      <c r="C34" s="228" t="s">
        <v>94</v>
      </c>
      <c r="D34" s="238" t="s">
        <v>521</v>
      </c>
      <c r="E34" s="7"/>
      <c r="F34" s="7"/>
    </row>
    <row r="35" spans="1:6" ht="14.25">
      <c r="A35" s="241" t="s">
        <v>92</v>
      </c>
      <c r="B35" s="255" t="s">
        <v>120</v>
      </c>
      <c r="C35" s="276" t="s">
        <v>272</v>
      </c>
      <c r="D35" s="244">
        <f>D36+D37</f>
        <v>1240290</v>
      </c>
      <c r="E35" s="7"/>
      <c r="F35" s="7"/>
    </row>
    <row r="36" spans="1:6" ht="14.25">
      <c r="A36" s="123" t="s">
        <v>338</v>
      </c>
      <c r="B36" s="132" t="s">
        <v>343</v>
      </c>
      <c r="C36" s="121" t="s">
        <v>426</v>
      </c>
      <c r="D36" s="147">
        <f>Wydatki!C260</f>
        <v>608990</v>
      </c>
      <c r="E36" s="7"/>
      <c r="F36" s="7"/>
    </row>
    <row r="37" spans="1:6" ht="14.25">
      <c r="A37" s="124" t="s">
        <v>338</v>
      </c>
      <c r="B37" s="134" t="s">
        <v>344</v>
      </c>
      <c r="C37" s="122" t="s">
        <v>427</v>
      </c>
      <c r="D37" s="182">
        <f>Wydatki!C256</f>
        <v>631300</v>
      </c>
      <c r="E37" s="7"/>
      <c r="F37" s="7"/>
    </row>
    <row r="38" spans="2:6" ht="14.25">
      <c r="B38" s="121"/>
      <c r="C38" s="121"/>
      <c r="D38" s="183"/>
      <c r="E38" s="7"/>
      <c r="F38" s="7"/>
    </row>
  </sheetData>
  <mergeCells count="13">
    <mergeCell ref="G16:H16"/>
    <mergeCell ref="G15:H15"/>
    <mergeCell ref="A34:B34"/>
    <mergeCell ref="B32:C32"/>
    <mergeCell ref="A24:B24"/>
    <mergeCell ref="A2:D2"/>
    <mergeCell ref="A1:C1"/>
    <mergeCell ref="A21:C21"/>
    <mergeCell ref="A22:D22"/>
    <mergeCell ref="A15:A17"/>
    <mergeCell ref="A6:A10"/>
    <mergeCell ref="A13:B13"/>
    <mergeCell ref="A4:B4"/>
  </mergeCells>
  <printOptions/>
  <pageMargins left="0.95" right="0.4" top="0.78" bottom="0.68" header="0.2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7"/>
  <sheetViews>
    <sheetView showGridLines="0" workbookViewId="0" topLeftCell="A43">
      <selection activeCell="G41" sqref="G41"/>
    </sheetView>
  </sheetViews>
  <sheetFormatPr defaultColWidth="9.00390625" defaultRowHeight="12.75" customHeight="1"/>
  <cols>
    <col min="1" max="1" width="4.75390625" style="91" customWidth="1"/>
    <col min="2" max="2" width="15.875" style="3" customWidth="1"/>
    <col min="3" max="3" width="26.875" style="3" customWidth="1"/>
    <col min="4" max="4" width="14.125" style="120" customWidth="1"/>
    <col min="5" max="5" width="14.875" style="120" customWidth="1"/>
    <col min="6" max="6" width="15.75390625" style="7" customWidth="1"/>
    <col min="7" max="7" width="9.125" style="7" customWidth="1"/>
    <col min="8" max="16384" width="9.125" style="1" customWidth="1"/>
  </cols>
  <sheetData>
    <row r="1" ht="12.75" customHeight="1">
      <c r="E1" s="91" t="s">
        <v>165</v>
      </c>
    </row>
    <row r="2" spans="1:5" ht="18" customHeight="1">
      <c r="A2" s="693" t="s">
        <v>340</v>
      </c>
      <c r="B2" s="693"/>
      <c r="C2" s="693"/>
      <c r="D2" s="693"/>
      <c r="E2" s="693"/>
    </row>
    <row r="3" spans="2:5" ht="7.5" customHeight="1">
      <c r="B3" s="2"/>
      <c r="C3" s="2"/>
      <c r="D3" s="127"/>
      <c r="E3" s="127"/>
    </row>
    <row r="4" spans="1:5" ht="12.75" customHeight="1">
      <c r="A4" s="760" t="s">
        <v>123</v>
      </c>
      <c r="B4" s="761"/>
      <c r="C4" s="761"/>
      <c r="D4" s="761"/>
      <c r="E4" s="767"/>
    </row>
    <row r="5" spans="1:5" ht="12.75" customHeight="1">
      <c r="A5" s="289" t="s">
        <v>0</v>
      </c>
      <c r="B5" s="290" t="s">
        <v>124</v>
      </c>
      <c r="C5" s="291"/>
      <c r="D5" s="292"/>
      <c r="E5" s="292" t="s">
        <v>521</v>
      </c>
    </row>
    <row r="6" spans="1:5" ht="12.75" customHeight="1">
      <c r="A6" s="780" t="s">
        <v>125</v>
      </c>
      <c r="B6" s="85" t="s">
        <v>126</v>
      </c>
      <c r="C6" s="284" t="s">
        <v>146</v>
      </c>
      <c r="D6" s="552">
        <v>70000</v>
      </c>
      <c r="E6" s="773">
        <f>D6+D7</f>
        <v>140000</v>
      </c>
    </row>
    <row r="7" spans="1:5" ht="12.75" customHeight="1">
      <c r="A7" s="774"/>
      <c r="B7" s="86"/>
      <c r="C7" s="64" t="s">
        <v>428</v>
      </c>
      <c r="D7" s="513">
        <v>70000</v>
      </c>
      <c r="E7" s="773"/>
    </row>
    <row r="8" spans="1:5" ht="12.75" customHeight="1">
      <c r="A8" s="780" t="s">
        <v>127</v>
      </c>
      <c r="B8" s="85" t="s">
        <v>128</v>
      </c>
      <c r="C8" s="284" t="s">
        <v>273</v>
      </c>
      <c r="D8" s="552">
        <f>1000+300000+5000</f>
        <v>306000</v>
      </c>
      <c r="E8" s="773">
        <f>D8+D9</f>
        <v>1107000</v>
      </c>
    </row>
    <row r="9" spans="1:6" ht="12.75" customHeight="1">
      <c r="A9" s="775"/>
      <c r="B9" s="293"/>
      <c r="C9" s="285" t="s">
        <v>429</v>
      </c>
      <c r="D9" s="511">
        <f>Dotacje!D26</f>
        <v>801000</v>
      </c>
      <c r="E9" s="773"/>
      <c r="F9" s="316"/>
    </row>
    <row r="10" spans="1:5" ht="12.75" customHeight="1">
      <c r="A10" s="780" t="s">
        <v>129</v>
      </c>
      <c r="B10" s="85" t="s">
        <v>130</v>
      </c>
      <c r="C10" s="284" t="s">
        <v>273</v>
      </c>
      <c r="D10" s="552">
        <f>40000+215000+17000</f>
        <v>272000</v>
      </c>
      <c r="E10" s="773">
        <f>D10+D11</f>
        <v>833882.34</v>
      </c>
    </row>
    <row r="11" spans="1:5" ht="12.75" customHeight="1">
      <c r="A11" s="775"/>
      <c r="B11" s="293"/>
      <c r="C11" s="285" t="s">
        <v>429</v>
      </c>
      <c r="D11" s="512">
        <f>Dotacje!D27</f>
        <v>561882.34</v>
      </c>
      <c r="E11" s="773"/>
    </row>
    <row r="12" spans="1:5" ht="12.75" customHeight="1">
      <c r="A12" s="774">
        <v>4</v>
      </c>
      <c r="B12" s="85" t="s">
        <v>391</v>
      </c>
      <c r="C12" s="284" t="s">
        <v>146</v>
      </c>
      <c r="D12" s="552">
        <v>1932300</v>
      </c>
      <c r="E12" s="773">
        <f>D12+D13</f>
        <v>2002180</v>
      </c>
    </row>
    <row r="13" spans="1:5" ht="12.75" customHeight="1">
      <c r="A13" s="775"/>
      <c r="B13" s="293"/>
      <c r="C13" s="285" t="s">
        <v>428</v>
      </c>
      <c r="D13" s="512">
        <f>Dotacje!D29</f>
        <v>69880</v>
      </c>
      <c r="E13" s="773"/>
    </row>
    <row r="14" spans="1:5" ht="12.75" customHeight="1">
      <c r="A14" s="259"/>
      <c r="B14" s="286" t="s">
        <v>12</v>
      </c>
      <c r="C14" s="287"/>
      <c r="D14" s="288"/>
      <c r="E14" s="247">
        <f>E6+E8+E10+E12</f>
        <v>4083062.34</v>
      </c>
    </row>
    <row r="16" spans="1:5" ht="12.75" customHeight="1">
      <c r="A16" s="760" t="s">
        <v>119</v>
      </c>
      <c r="B16" s="761"/>
      <c r="C16" s="761"/>
      <c r="D16" s="761"/>
      <c r="E16" s="767"/>
    </row>
    <row r="17" spans="1:5" ht="12.75" customHeight="1">
      <c r="A17" s="258" t="s">
        <v>0</v>
      </c>
      <c r="B17" s="290" t="s">
        <v>2</v>
      </c>
      <c r="C17" s="291"/>
      <c r="D17" s="295"/>
      <c r="E17" s="292" t="s">
        <v>521</v>
      </c>
    </row>
    <row r="18" spans="1:5" ht="12.75" customHeight="1">
      <c r="A18" s="774" t="s">
        <v>125</v>
      </c>
      <c r="B18" s="85" t="s">
        <v>126</v>
      </c>
      <c r="C18" s="284" t="s">
        <v>274</v>
      </c>
      <c r="D18" s="552">
        <f>D19+D20</f>
        <v>140000</v>
      </c>
      <c r="E18" s="776">
        <f>E6</f>
        <v>140000</v>
      </c>
    </row>
    <row r="19" spans="1:5" ht="12.75" customHeight="1">
      <c r="A19" s="774"/>
      <c r="B19" s="296"/>
      <c r="C19" s="64" t="s">
        <v>284</v>
      </c>
      <c r="D19" s="513">
        <v>86500</v>
      </c>
      <c r="E19" s="777"/>
    </row>
    <row r="20" spans="1:5" ht="12.75" customHeight="1">
      <c r="A20" s="774"/>
      <c r="B20" s="297"/>
      <c r="C20" s="285" t="s">
        <v>275</v>
      </c>
      <c r="D20" s="512">
        <v>53500</v>
      </c>
      <c r="E20" s="777"/>
    </row>
    <row r="21" spans="1:5" ht="12.75" customHeight="1">
      <c r="A21" s="778" t="s">
        <v>127</v>
      </c>
      <c r="B21" s="85" t="s">
        <v>128</v>
      </c>
      <c r="C21" s="284" t="s">
        <v>276</v>
      </c>
      <c r="D21" s="552">
        <f>D22+D23</f>
        <v>1107000</v>
      </c>
      <c r="E21" s="776">
        <f>E8</f>
        <v>1107000</v>
      </c>
    </row>
    <row r="22" spans="1:5" ht="12.75" customHeight="1">
      <c r="A22" s="774"/>
      <c r="B22" s="296"/>
      <c r="C22" s="64" t="s">
        <v>277</v>
      </c>
      <c r="D22" s="513">
        <f>610000+50000+98000+15400</f>
        <v>773400</v>
      </c>
      <c r="E22" s="777"/>
    </row>
    <row r="23" spans="1:5" ht="12.75" customHeight="1">
      <c r="A23" s="774"/>
      <c r="B23" s="297"/>
      <c r="C23" s="285" t="s">
        <v>278</v>
      </c>
      <c r="D23" s="512">
        <f>E21-D22</f>
        <v>333600</v>
      </c>
      <c r="E23" s="777"/>
    </row>
    <row r="24" spans="1:5" ht="12.75" customHeight="1">
      <c r="A24" s="778" t="s">
        <v>129</v>
      </c>
      <c r="B24" s="85" t="s">
        <v>130</v>
      </c>
      <c r="C24" s="284" t="s">
        <v>279</v>
      </c>
      <c r="D24" s="552">
        <f>D25+D26</f>
        <v>833882.34</v>
      </c>
      <c r="E24" s="776">
        <f>E10</f>
        <v>833882.34</v>
      </c>
    </row>
    <row r="25" spans="1:5" ht="12.75" customHeight="1">
      <c r="A25" s="774"/>
      <c r="B25" s="296"/>
      <c r="C25" s="64" t="s">
        <v>280</v>
      </c>
      <c r="D25" s="513">
        <f>400000+32400+63500+10600</f>
        <v>506500</v>
      </c>
      <c r="E25" s="777"/>
    </row>
    <row r="26" spans="1:5" ht="12.75" customHeight="1">
      <c r="A26" s="774"/>
      <c r="B26" s="297"/>
      <c r="C26" s="285" t="s">
        <v>281</v>
      </c>
      <c r="D26" s="512">
        <f>E24-D25</f>
        <v>327382.34</v>
      </c>
      <c r="E26" s="777"/>
    </row>
    <row r="27" spans="1:5" ht="12.75" customHeight="1">
      <c r="A27" s="778" t="s">
        <v>131</v>
      </c>
      <c r="B27" s="85" t="s">
        <v>391</v>
      </c>
      <c r="C27" s="284" t="s">
        <v>279</v>
      </c>
      <c r="D27" s="552">
        <f>D28+D29</f>
        <v>2002180</v>
      </c>
      <c r="E27" s="776">
        <f>E12</f>
        <v>2002180</v>
      </c>
    </row>
    <row r="28" spans="1:5" ht="12.75" customHeight="1">
      <c r="A28" s="774"/>
      <c r="B28" s="296"/>
      <c r="C28" s="64" t="s">
        <v>282</v>
      </c>
      <c r="D28" s="513">
        <f>416000+42500+70900+11600+12655</f>
        <v>553655</v>
      </c>
      <c r="E28" s="777"/>
    </row>
    <row r="29" spans="1:5" ht="12.75" customHeight="1">
      <c r="A29" s="774"/>
      <c r="B29" s="297"/>
      <c r="C29" s="285" t="s">
        <v>283</v>
      </c>
      <c r="D29" s="512">
        <f>E27-D28</f>
        <v>1448525</v>
      </c>
      <c r="E29" s="779"/>
    </row>
    <row r="30" spans="1:5" ht="12.75" customHeight="1">
      <c r="A30" s="260"/>
      <c r="B30" s="286" t="s">
        <v>12</v>
      </c>
      <c r="C30" s="287"/>
      <c r="D30" s="288"/>
      <c r="E30" s="247">
        <f>E18+E21+E24+E27</f>
        <v>4083062.34</v>
      </c>
    </row>
    <row r="32" spans="1:5" ht="12.75" customHeight="1">
      <c r="A32" s="755" t="s">
        <v>166</v>
      </c>
      <c r="B32" s="755"/>
      <c r="C32" s="755"/>
      <c r="D32" s="755"/>
      <c r="E32" s="755"/>
    </row>
    <row r="33" spans="1:5" ht="12.75" customHeight="1">
      <c r="A33" s="693" t="s">
        <v>510</v>
      </c>
      <c r="B33" s="693"/>
      <c r="C33" s="693"/>
      <c r="D33" s="693"/>
      <c r="E33" s="693"/>
    </row>
    <row r="34" spans="1:4" ht="6" customHeight="1">
      <c r="A34" s="114"/>
      <c r="B34" s="114"/>
      <c r="C34" s="114"/>
      <c r="D34" s="128"/>
    </row>
    <row r="35" spans="1:5" ht="12.75" customHeight="1">
      <c r="A35" s="760" t="s">
        <v>169</v>
      </c>
      <c r="B35" s="761"/>
      <c r="C35" s="761"/>
      <c r="D35" s="761"/>
      <c r="E35" s="767"/>
    </row>
    <row r="36" spans="1:5" ht="12.75" customHeight="1">
      <c r="A36" s="241" t="s">
        <v>0</v>
      </c>
      <c r="B36" s="781" t="s">
        <v>2</v>
      </c>
      <c r="C36" s="782"/>
      <c r="D36" s="783"/>
      <c r="E36" s="263" t="s">
        <v>521</v>
      </c>
    </row>
    <row r="37" spans="1:5" ht="12.75" customHeight="1">
      <c r="A37" s="87" t="s">
        <v>125</v>
      </c>
      <c r="B37" s="772" t="s">
        <v>294</v>
      </c>
      <c r="C37" s="772"/>
      <c r="D37" s="8" t="s">
        <v>146</v>
      </c>
      <c r="E37" s="514">
        <v>100000</v>
      </c>
    </row>
    <row r="38" spans="1:5" ht="12.75" customHeight="1">
      <c r="A38" s="87" t="s">
        <v>127</v>
      </c>
      <c r="B38" s="772" t="s">
        <v>285</v>
      </c>
      <c r="C38" s="772"/>
      <c r="D38" s="8" t="s">
        <v>146</v>
      </c>
      <c r="E38" s="514">
        <v>150000</v>
      </c>
    </row>
    <row r="39" spans="1:5" ht="12.75" customHeight="1">
      <c r="A39" s="87" t="s">
        <v>129</v>
      </c>
      <c r="B39" s="772" t="s">
        <v>286</v>
      </c>
      <c r="C39" s="772"/>
      <c r="D39" s="8" t="s">
        <v>146</v>
      </c>
      <c r="E39" s="514">
        <v>30000</v>
      </c>
    </row>
    <row r="40" spans="1:5" ht="12.75" customHeight="1">
      <c r="A40" s="87" t="s">
        <v>131</v>
      </c>
      <c r="B40" s="772" t="s">
        <v>287</v>
      </c>
      <c r="C40" s="772"/>
      <c r="D40" s="8" t="s">
        <v>146</v>
      </c>
      <c r="E40" s="509">
        <v>28000</v>
      </c>
    </row>
    <row r="41" spans="1:5" ht="12.75" customHeight="1">
      <c r="A41" s="87" t="s">
        <v>133</v>
      </c>
      <c r="B41" s="772" t="s">
        <v>288</v>
      </c>
      <c r="C41" s="772"/>
      <c r="D41" s="8" t="s">
        <v>146</v>
      </c>
      <c r="E41" s="509">
        <v>40000</v>
      </c>
    </row>
    <row r="42" spans="1:5" ht="12.75" customHeight="1">
      <c r="A42" s="87" t="s">
        <v>134</v>
      </c>
      <c r="B42" s="772" t="s">
        <v>345</v>
      </c>
      <c r="C42" s="772"/>
      <c r="D42" s="8" t="s">
        <v>146</v>
      </c>
      <c r="E42" s="509">
        <v>13000</v>
      </c>
    </row>
    <row r="43" spans="1:5" ht="12.75" customHeight="1">
      <c r="A43" s="87" t="s">
        <v>135</v>
      </c>
      <c r="B43" s="772" t="s">
        <v>289</v>
      </c>
      <c r="C43" s="772"/>
      <c r="D43" s="8" t="s">
        <v>146</v>
      </c>
      <c r="E43" s="509">
        <v>13000</v>
      </c>
    </row>
    <row r="44" spans="1:5" ht="12.75" customHeight="1">
      <c r="A44" s="87" t="s">
        <v>136</v>
      </c>
      <c r="B44" s="772" t="s">
        <v>290</v>
      </c>
      <c r="C44" s="772"/>
      <c r="D44" s="8" t="s">
        <v>146</v>
      </c>
      <c r="E44" s="509">
        <v>20000</v>
      </c>
    </row>
    <row r="45" spans="1:5" ht="12.75" customHeight="1">
      <c r="A45" s="87" t="s">
        <v>137</v>
      </c>
      <c r="B45" s="772" t="s">
        <v>291</v>
      </c>
      <c r="C45" s="772"/>
      <c r="D45" s="8" t="s">
        <v>146</v>
      </c>
      <c r="E45" s="509">
        <v>10000</v>
      </c>
    </row>
    <row r="46" spans="1:5" ht="12.75" customHeight="1">
      <c r="A46" s="87" t="s">
        <v>138</v>
      </c>
      <c r="B46" s="772" t="s">
        <v>292</v>
      </c>
      <c r="C46" s="772"/>
      <c r="D46" s="8" t="s">
        <v>146</v>
      </c>
      <c r="E46" s="509">
        <v>20000</v>
      </c>
    </row>
    <row r="47" spans="1:5" ht="12.75" customHeight="1">
      <c r="A47" s="87" t="s">
        <v>139</v>
      </c>
      <c r="B47" s="772" t="s">
        <v>293</v>
      </c>
      <c r="C47" s="772"/>
      <c r="D47" s="8" t="s">
        <v>146</v>
      </c>
      <c r="E47" s="509">
        <v>30000</v>
      </c>
    </row>
    <row r="48" spans="1:5" ht="12.75" customHeight="1">
      <c r="A48" s="771" t="s">
        <v>173</v>
      </c>
      <c r="B48" s="784" t="s">
        <v>346</v>
      </c>
      <c r="C48" s="784"/>
      <c r="D48" s="769" t="s">
        <v>347</v>
      </c>
      <c r="E48" s="785">
        <v>0</v>
      </c>
    </row>
    <row r="49" spans="1:5" ht="12.75" customHeight="1">
      <c r="A49" s="771"/>
      <c r="B49" s="784"/>
      <c r="C49" s="784"/>
      <c r="D49" s="770"/>
      <c r="E49" s="786"/>
    </row>
    <row r="50" spans="1:5" ht="12.75" customHeight="1">
      <c r="A50" s="294"/>
      <c r="B50" s="760" t="s">
        <v>12</v>
      </c>
      <c r="C50" s="767"/>
      <c r="D50" s="262"/>
      <c r="E50" s="510">
        <f>SUM(E37:E49)</f>
        <v>454000</v>
      </c>
    </row>
    <row r="51" spans="1:4" ht="12.75" customHeight="1">
      <c r="A51" s="101"/>
      <c r="B51" s="101"/>
      <c r="C51" s="101"/>
      <c r="D51" s="129"/>
    </row>
    <row r="52" spans="1:5" ht="12.75" customHeight="1">
      <c r="A52" s="760" t="s">
        <v>119</v>
      </c>
      <c r="B52" s="761"/>
      <c r="C52" s="761"/>
      <c r="D52" s="761"/>
      <c r="E52" s="767"/>
    </row>
    <row r="53" spans="1:5" ht="12.75" customHeight="1">
      <c r="A53" s="241" t="s">
        <v>0</v>
      </c>
      <c r="B53" s="781" t="s">
        <v>2</v>
      </c>
      <c r="C53" s="782"/>
      <c r="D53" s="783"/>
      <c r="E53" s="292" t="s">
        <v>521</v>
      </c>
    </row>
    <row r="54" spans="1:5" ht="12.75" customHeight="1">
      <c r="A54" s="87" t="s">
        <v>125</v>
      </c>
      <c r="B54" s="772" t="s">
        <v>294</v>
      </c>
      <c r="C54" s="772"/>
      <c r="D54" s="96" t="s">
        <v>145</v>
      </c>
      <c r="E54" s="508">
        <f aca="true" t="shared" si="0" ref="E54:E64">E37</f>
        <v>100000</v>
      </c>
    </row>
    <row r="55" spans="1:5" ht="12.75" customHeight="1">
      <c r="A55" s="87" t="s">
        <v>127</v>
      </c>
      <c r="B55" s="772" t="s">
        <v>285</v>
      </c>
      <c r="C55" s="772"/>
      <c r="D55" s="96" t="s">
        <v>145</v>
      </c>
      <c r="E55" s="508">
        <f t="shared" si="0"/>
        <v>150000</v>
      </c>
    </row>
    <row r="56" spans="1:5" ht="12.75" customHeight="1">
      <c r="A56" s="87" t="s">
        <v>129</v>
      </c>
      <c r="B56" s="772" t="s">
        <v>286</v>
      </c>
      <c r="C56" s="772"/>
      <c r="D56" s="96" t="s">
        <v>145</v>
      </c>
      <c r="E56" s="508">
        <f t="shared" si="0"/>
        <v>30000</v>
      </c>
    </row>
    <row r="57" spans="1:5" ht="12.75" customHeight="1">
      <c r="A57" s="87" t="s">
        <v>131</v>
      </c>
      <c r="B57" s="772" t="s">
        <v>287</v>
      </c>
      <c r="C57" s="772"/>
      <c r="D57" s="96" t="s">
        <v>145</v>
      </c>
      <c r="E57" s="508">
        <f t="shared" si="0"/>
        <v>28000</v>
      </c>
    </row>
    <row r="58" spans="1:5" ht="12.75" customHeight="1">
      <c r="A58" s="87" t="s">
        <v>133</v>
      </c>
      <c r="B58" s="772" t="s">
        <v>288</v>
      </c>
      <c r="C58" s="772"/>
      <c r="D58" s="96" t="s">
        <v>145</v>
      </c>
      <c r="E58" s="508">
        <f t="shared" si="0"/>
        <v>40000</v>
      </c>
    </row>
    <row r="59" spans="1:5" ht="12.75" customHeight="1">
      <c r="A59" s="87" t="s">
        <v>134</v>
      </c>
      <c r="B59" s="772" t="s">
        <v>345</v>
      </c>
      <c r="C59" s="772"/>
      <c r="D59" s="96" t="s">
        <v>145</v>
      </c>
      <c r="E59" s="508">
        <f t="shared" si="0"/>
        <v>13000</v>
      </c>
    </row>
    <row r="60" spans="1:5" ht="12.75" customHeight="1">
      <c r="A60" s="87" t="s">
        <v>135</v>
      </c>
      <c r="B60" s="772" t="s">
        <v>289</v>
      </c>
      <c r="C60" s="772"/>
      <c r="D60" s="96" t="s">
        <v>145</v>
      </c>
      <c r="E60" s="508">
        <f t="shared" si="0"/>
        <v>13000</v>
      </c>
    </row>
    <row r="61" spans="1:5" ht="12.75" customHeight="1">
      <c r="A61" s="87" t="s">
        <v>136</v>
      </c>
      <c r="B61" s="772" t="s">
        <v>290</v>
      </c>
      <c r="C61" s="772"/>
      <c r="D61" s="96" t="s">
        <v>145</v>
      </c>
      <c r="E61" s="508">
        <f t="shared" si="0"/>
        <v>20000</v>
      </c>
    </row>
    <row r="62" spans="1:5" ht="12.75" customHeight="1">
      <c r="A62" s="87" t="s">
        <v>137</v>
      </c>
      <c r="B62" s="772" t="s">
        <v>291</v>
      </c>
      <c r="C62" s="772"/>
      <c r="D62" s="96" t="s">
        <v>145</v>
      </c>
      <c r="E62" s="508">
        <f t="shared" si="0"/>
        <v>10000</v>
      </c>
    </row>
    <row r="63" spans="1:5" ht="12.75" customHeight="1">
      <c r="A63" s="87" t="s">
        <v>138</v>
      </c>
      <c r="B63" s="772" t="s">
        <v>292</v>
      </c>
      <c r="C63" s="772"/>
      <c r="D63" s="96" t="s">
        <v>145</v>
      </c>
      <c r="E63" s="508">
        <f t="shared" si="0"/>
        <v>20000</v>
      </c>
    </row>
    <row r="64" spans="1:5" ht="12.75" customHeight="1">
      <c r="A64" s="87" t="s">
        <v>139</v>
      </c>
      <c r="B64" s="789" t="s">
        <v>293</v>
      </c>
      <c r="C64" s="789"/>
      <c r="D64" s="103" t="s">
        <v>145</v>
      </c>
      <c r="E64" s="508">
        <f t="shared" si="0"/>
        <v>30000</v>
      </c>
    </row>
    <row r="65" spans="1:5" ht="12.75" customHeight="1">
      <c r="A65" s="771" t="s">
        <v>173</v>
      </c>
      <c r="B65" s="792" t="s">
        <v>346</v>
      </c>
      <c r="C65" s="793"/>
      <c r="D65" s="769" t="s">
        <v>396</v>
      </c>
      <c r="E65" s="684">
        <f>634513.75+2607.24+2599.01</f>
        <v>639720</v>
      </c>
    </row>
    <row r="66" spans="1:5" ht="52.5" customHeight="1">
      <c r="A66" s="771"/>
      <c r="B66" s="790" t="s">
        <v>505</v>
      </c>
      <c r="C66" s="791"/>
      <c r="D66" s="770"/>
      <c r="E66" s="306"/>
    </row>
    <row r="67" spans="1:5" ht="12.75" customHeight="1">
      <c r="A67" s="261"/>
      <c r="B67" s="787" t="s">
        <v>12</v>
      </c>
      <c r="C67" s="788"/>
      <c r="D67" s="300"/>
      <c r="E67" s="410">
        <f>SUM(E54:E66)</f>
        <v>1093720</v>
      </c>
    </row>
  </sheetData>
  <mergeCells count="57">
    <mergeCell ref="B67:C67"/>
    <mergeCell ref="B61:C61"/>
    <mergeCell ref="B62:C62"/>
    <mergeCell ref="B63:C63"/>
    <mergeCell ref="B64:C64"/>
    <mergeCell ref="B66:C66"/>
    <mergeCell ref="B65:C65"/>
    <mergeCell ref="B45:C45"/>
    <mergeCell ref="B46:C46"/>
    <mergeCell ref="E48:E49"/>
    <mergeCell ref="B44:C44"/>
    <mergeCell ref="B47:C47"/>
    <mergeCell ref="D48:D49"/>
    <mergeCell ref="B43:C43"/>
    <mergeCell ref="A32:E32"/>
    <mergeCell ref="B53:D53"/>
    <mergeCell ref="A35:E35"/>
    <mergeCell ref="A52:E52"/>
    <mergeCell ref="A33:E33"/>
    <mergeCell ref="B48:C49"/>
    <mergeCell ref="B36:D36"/>
    <mergeCell ref="B50:C50"/>
    <mergeCell ref="B39:C39"/>
    <mergeCell ref="B40:C40"/>
    <mergeCell ref="B41:C41"/>
    <mergeCell ref="B42:C42"/>
    <mergeCell ref="A2:E2"/>
    <mergeCell ref="A6:A7"/>
    <mergeCell ref="E6:E7"/>
    <mergeCell ref="A4:E4"/>
    <mergeCell ref="A8:A9"/>
    <mergeCell ref="E8:E9"/>
    <mergeCell ref="A10:A11"/>
    <mergeCell ref="B37:C37"/>
    <mergeCell ref="E24:E26"/>
    <mergeCell ref="A27:A29"/>
    <mergeCell ref="E27:E29"/>
    <mergeCell ref="B38:C38"/>
    <mergeCell ref="E10:E11"/>
    <mergeCell ref="A12:A13"/>
    <mergeCell ref="E12:E13"/>
    <mergeCell ref="A18:A20"/>
    <mergeCell ref="E18:E20"/>
    <mergeCell ref="A16:E16"/>
    <mergeCell ref="A21:A23"/>
    <mergeCell ref="E21:E23"/>
    <mergeCell ref="A24:A26"/>
    <mergeCell ref="A48:A49"/>
    <mergeCell ref="B56:C56"/>
    <mergeCell ref="B57:C57"/>
    <mergeCell ref="B59:C59"/>
    <mergeCell ref="B58:C58"/>
    <mergeCell ref="D65:D66"/>
    <mergeCell ref="A65:A66"/>
    <mergeCell ref="B54:C54"/>
    <mergeCell ref="B55:C55"/>
    <mergeCell ref="B60:C60"/>
  </mergeCells>
  <printOptions/>
  <pageMargins left="0.75" right="0.75" top="0.3" bottom="0.24" header="0.25" footer="0.2"/>
  <pageSetup horizontalDpi="300" verticalDpi="300" orientation="portrait" paperSize="9" r:id="rId1"/>
  <rowBreaks count="1" manualBreakCount="1">
    <brk id="3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22">
      <selection activeCell="D38" sqref="D38:D42"/>
    </sheetView>
  </sheetViews>
  <sheetFormatPr defaultColWidth="9.00390625" defaultRowHeight="12.75"/>
  <cols>
    <col min="1" max="1" width="5.00390625" style="7" customWidth="1"/>
    <col min="2" max="2" width="6.75390625" style="7" customWidth="1"/>
    <col min="3" max="3" width="53.375" style="68" customWidth="1"/>
    <col min="4" max="4" width="14.125" style="130" customWidth="1"/>
    <col min="5" max="5" width="6.625" style="7" customWidth="1"/>
    <col min="6" max="6" width="12.25390625" style="7" bestFit="1" customWidth="1"/>
    <col min="7" max="7" width="9.125" style="7" customWidth="1"/>
    <col min="8" max="16384" width="9.125" style="1" customWidth="1"/>
  </cols>
  <sheetData>
    <row r="1" spans="1:5" ht="14.25">
      <c r="A1" s="755" t="s">
        <v>167</v>
      </c>
      <c r="B1" s="755"/>
      <c r="C1" s="755"/>
      <c r="D1" s="755"/>
      <c r="E1" s="91"/>
    </row>
    <row r="2" spans="1:4" ht="15.75">
      <c r="A2" s="693"/>
      <c r="B2" s="693"/>
      <c r="C2" s="693"/>
      <c r="D2" s="693"/>
    </row>
    <row r="3" spans="1:4" ht="16.5">
      <c r="A3" s="798" t="s">
        <v>364</v>
      </c>
      <c r="B3" s="798"/>
      <c r="C3" s="798"/>
      <c r="D3" s="798"/>
    </row>
    <row r="4" spans="1:4" ht="16.5">
      <c r="A4" s="798" t="s">
        <v>365</v>
      </c>
      <c r="B4" s="798"/>
      <c r="C4" s="798"/>
      <c r="D4" s="798"/>
    </row>
    <row r="6" spans="2:4" ht="14.25">
      <c r="B6" s="264" t="s">
        <v>0</v>
      </c>
      <c r="C6" s="264" t="s">
        <v>94</v>
      </c>
      <c r="D6" s="264" t="s">
        <v>521</v>
      </c>
    </row>
    <row r="7" spans="2:4" ht="14.25">
      <c r="B7" s="265" t="s">
        <v>357</v>
      </c>
      <c r="C7" s="266" t="s">
        <v>358</v>
      </c>
      <c r="D7" s="195">
        <v>104379.29</v>
      </c>
    </row>
    <row r="8" spans="2:4" ht="14.25">
      <c r="B8" s="265" t="s">
        <v>359</v>
      </c>
      <c r="C8" s="266" t="s">
        <v>132</v>
      </c>
      <c r="D8" s="195">
        <f>D9</f>
        <v>71000</v>
      </c>
    </row>
    <row r="9" spans="2:4" ht="14.25">
      <c r="B9" s="267" t="s">
        <v>125</v>
      </c>
      <c r="C9" s="268" t="s">
        <v>363</v>
      </c>
      <c r="D9" s="269">
        <v>71000</v>
      </c>
    </row>
    <row r="10" spans="2:4" ht="14.25">
      <c r="B10" s="265" t="s">
        <v>360</v>
      </c>
      <c r="C10" s="266" t="s">
        <v>119</v>
      </c>
      <c r="D10" s="195">
        <f>D11+D13</f>
        <v>81500</v>
      </c>
    </row>
    <row r="11" spans="2:4" ht="14.25">
      <c r="B11" s="273" t="s">
        <v>125</v>
      </c>
      <c r="C11" s="274" t="s">
        <v>24</v>
      </c>
      <c r="D11" s="275">
        <f>D12</f>
        <v>500</v>
      </c>
    </row>
    <row r="12" spans="2:4" ht="14.25">
      <c r="B12" s="267"/>
      <c r="C12" s="167" t="s">
        <v>509</v>
      </c>
      <c r="D12" s="516">
        <v>500</v>
      </c>
    </row>
    <row r="13" spans="2:4" ht="14.25">
      <c r="B13" s="270" t="s">
        <v>127</v>
      </c>
      <c r="C13" s="271" t="s">
        <v>57</v>
      </c>
      <c r="D13" s="272">
        <f>D14+D15+D16</f>
        <v>81000</v>
      </c>
    </row>
    <row r="14" spans="2:4" ht="14.25">
      <c r="B14" s="270"/>
      <c r="C14" s="167" t="s">
        <v>506</v>
      </c>
      <c r="D14" s="516">
        <v>16000</v>
      </c>
    </row>
    <row r="15" spans="2:4" ht="14.25">
      <c r="B15" s="270"/>
      <c r="C15" s="517" t="s">
        <v>507</v>
      </c>
      <c r="D15" s="516">
        <v>15000</v>
      </c>
    </row>
    <row r="16" spans="2:4" ht="14.25">
      <c r="B16" s="270"/>
      <c r="C16" s="344" t="s">
        <v>508</v>
      </c>
      <c r="D16" s="518">
        <v>50000</v>
      </c>
    </row>
    <row r="17" spans="2:4" ht="14.25">
      <c r="B17" s="265" t="s">
        <v>361</v>
      </c>
      <c r="C17" s="266" t="s">
        <v>362</v>
      </c>
      <c r="D17" s="195">
        <f>D7+D8-D10</f>
        <v>93879.29</v>
      </c>
    </row>
    <row r="21" spans="1:4" ht="14.25">
      <c r="A21" s="755" t="s">
        <v>168</v>
      </c>
      <c r="B21" s="755"/>
      <c r="C21" s="755"/>
      <c r="D21" s="755"/>
    </row>
    <row r="22" spans="1:4" ht="15.75">
      <c r="A22" s="693" t="s">
        <v>140</v>
      </c>
      <c r="B22" s="693"/>
      <c r="C22" s="693"/>
      <c r="D22" s="693"/>
    </row>
    <row r="23" ht="14.25">
      <c r="D23" s="68"/>
    </row>
    <row r="24" spans="1:4" ht="14.25">
      <c r="A24" s="230" t="s">
        <v>92</v>
      </c>
      <c r="B24" s="277" t="s">
        <v>109</v>
      </c>
      <c r="C24" s="277" t="s">
        <v>2</v>
      </c>
      <c r="D24" s="340" t="s">
        <v>521</v>
      </c>
    </row>
    <row r="25" spans="1:4" ht="14.25">
      <c r="A25" s="337">
        <v>400</v>
      </c>
      <c r="B25" s="97"/>
      <c r="C25" s="97" t="s">
        <v>84</v>
      </c>
      <c r="D25" s="795">
        <f>Wydatki!C18</f>
        <v>274030</v>
      </c>
    </row>
    <row r="26" spans="1:4" ht="14.25">
      <c r="A26" s="156"/>
      <c r="B26" s="32">
        <v>40002</v>
      </c>
      <c r="C26" s="18" t="s">
        <v>148</v>
      </c>
      <c r="D26" s="796"/>
    </row>
    <row r="27" spans="1:4" ht="14.25">
      <c r="A27" s="156"/>
      <c r="B27" s="32"/>
      <c r="C27" s="32" t="s">
        <v>147</v>
      </c>
      <c r="D27" s="796"/>
    </row>
    <row r="28" spans="1:4" ht="14.25">
      <c r="A28" s="125"/>
      <c r="B28" s="92"/>
      <c r="C28" s="92" t="s">
        <v>430</v>
      </c>
      <c r="D28" s="797"/>
    </row>
    <row r="29" spans="1:4" ht="14.25">
      <c r="A29" s="452">
        <v>900</v>
      </c>
      <c r="B29" s="470"/>
      <c r="C29" s="470" t="s">
        <v>10</v>
      </c>
      <c r="D29" s="785">
        <f>Wydatki!C218</f>
        <v>281300</v>
      </c>
    </row>
    <row r="30" spans="1:4" ht="14.25">
      <c r="A30" s="484"/>
      <c r="B30" s="167">
        <v>90001</v>
      </c>
      <c r="C30" s="167" t="s">
        <v>149</v>
      </c>
      <c r="D30" s="794"/>
    </row>
    <row r="31" spans="1:4" ht="14.25">
      <c r="A31" s="484"/>
      <c r="B31" s="167"/>
      <c r="C31" s="167" t="s">
        <v>147</v>
      </c>
      <c r="D31" s="794"/>
    </row>
    <row r="32" spans="1:4" ht="14.25">
      <c r="A32" s="443"/>
      <c r="B32" s="344"/>
      <c r="C32" s="344" t="s">
        <v>430</v>
      </c>
      <c r="D32" s="786"/>
    </row>
    <row r="33" spans="1:4" ht="14.25">
      <c r="A33" s="484">
        <v>921</v>
      </c>
      <c r="B33" s="606" t="s">
        <v>586</v>
      </c>
      <c r="C33" s="607" t="s">
        <v>585</v>
      </c>
      <c r="D33" s="608"/>
    </row>
    <row r="34" spans="1:4" ht="14.25">
      <c r="A34" s="484"/>
      <c r="B34" s="167"/>
      <c r="C34" s="408" t="s">
        <v>587</v>
      </c>
      <c r="D34" s="608"/>
    </row>
    <row r="35" spans="1:4" ht="14.25">
      <c r="A35" s="484"/>
      <c r="B35" s="609"/>
      <c r="C35" s="610" t="s">
        <v>589</v>
      </c>
      <c r="D35" s="611"/>
    </row>
    <row r="36" spans="1:4" ht="14.25">
      <c r="A36" s="484"/>
      <c r="B36" s="609"/>
      <c r="C36" s="408" t="s">
        <v>588</v>
      </c>
      <c r="D36" s="611"/>
    </row>
    <row r="37" spans="1:4" ht="14.25">
      <c r="A37" s="484"/>
      <c r="B37" s="609"/>
      <c r="C37" s="408" t="s">
        <v>431</v>
      </c>
      <c r="D37" s="611">
        <f>Wydatki!C262</f>
        <v>35000</v>
      </c>
    </row>
    <row r="38" spans="1:4" ht="14.25">
      <c r="A38" s="343">
        <v>926</v>
      </c>
      <c r="B38" s="97"/>
      <c r="C38" s="97" t="s">
        <v>63</v>
      </c>
      <c r="D38" s="795">
        <f>Wydatki!C268</f>
        <v>55000</v>
      </c>
    </row>
    <row r="39" spans="1:4" ht="14.25">
      <c r="A39" s="73"/>
      <c r="B39" s="32">
        <v>92605</v>
      </c>
      <c r="C39" s="32" t="s">
        <v>143</v>
      </c>
      <c r="D39" s="796"/>
    </row>
    <row r="40" spans="1:4" ht="14.25">
      <c r="A40" s="73"/>
      <c r="B40" s="32"/>
      <c r="C40" s="32" t="s">
        <v>306</v>
      </c>
      <c r="D40" s="796"/>
    </row>
    <row r="41" spans="1:4" ht="14.25">
      <c r="A41" s="73"/>
      <c r="B41" s="32"/>
      <c r="C41" s="32" t="s">
        <v>308</v>
      </c>
      <c r="D41" s="796"/>
    </row>
    <row r="42" spans="1:4" ht="14.25">
      <c r="A42" s="79"/>
      <c r="B42" s="92"/>
      <c r="C42" s="92" t="s">
        <v>431</v>
      </c>
      <c r="D42" s="797"/>
    </row>
    <row r="43" spans="1:4" ht="14.25">
      <c r="A43" s="341"/>
      <c r="B43" s="342"/>
      <c r="C43" s="341" t="s">
        <v>12</v>
      </c>
      <c r="D43" s="413">
        <f>D25+D29+D37+D38</f>
        <v>645330</v>
      </c>
    </row>
    <row r="44" spans="1:4" ht="14.25">
      <c r="A44" s="91"/>
      <c r="B44" s="91"/>
      <c r="D44" s="139"/>
    </row>
    <row r="46" spans="2:4" ht="14.25">
      <c r="B46" s="1"/>
      <c r="C46" s="1"/>
      <c r="D46" s="1"/>
    </row>
    <row r="47" spans="2:4" ht="14.25">
      <c r="B47" s="1"/>
      <c r="C47" s="1"/>
      <c r="D47" s="1"/>
    </row>
    <row r="48" spans="2:4" ht="14.25">
      <c r="B48" s="1"/>
      <c r="C48" s="1"/>
      <c r="D48" s="1"/>
    </row>
    <row r="49" spans="2:4" ht="14.25">
      <c r="B49" s="1"/>
      <c r="C49" s="1"/>
      <c r="D49" s="1"/>
    </row>
    <row r="50" spans="2:4" ht="14.25">
      <c r="B50" s="1"/>
      <c r="C50" s="1"/>
      <c r="D50" s="1"/>
    </row>
  </sheetData>
  <mergeCells count="9">
    <mergeCell ref="D29:D32"/>
    <mergeCell ref="D38:D42"/>
    <mergeCell ref="A1:D1"/>
    <mergeCell ref="A21:D21"/>
    <mergeCell ref="A2:D2"/>
    <mergeCell ref="A3:D3"/>
    <mergeCell ref="A4:D4"/>
    <mergeCell ref="A22:D22"/>
    <mergeCell ref="D25:D2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workbookViewId="0" topLeftCell="A1">
      <selection activeCell="D15" sqref="D15"/>
    </sheetView>
  </sheetViews>
  <sheetFormatPr defaultColWidth="9.00390625" defaultRowHeight="12.75"/>
  <cols>
    <col min="1" max="1" width="5.625" style="91" customWidth="1"/>
    <col min="2" max="2" width="24.375" style="325" customWidth="1"/>
    <col min="3" max="3" width="10.125" style="7" customWidth="1"/>
    <col min="4" max="11" width="9.875" style="7" customWidth="1"/>
    <col min="12" max="12" width="10.25390625" style="7" customWidth="1"/>
    <col min="13" max="16384" width="9.125" style="7" customWidth="1"/>
  </cols>
  <sheetData>
    <row r="1" spans="5:8" ht="13.5">
      <c r="E1" s="755" t="s">
        <v>392</v>
      </c>
      <c r="F1" s="755"/>
      <c r="G1" s="755"/>
      <c r="H1" s="755"/>
    </row>
    <row r="2" spans="1:7" ht="15.75">
      <c r="A2" s="756" t="s">
        <v>577</v>
      </c>
      <c r="B2" s="756"/>
      <c r="C2" s="756"/>
      <c r="D2" s="756"/>
      <c r="E2" s="756"/>
      <c r="F2" s="756"/>
      <c r="G2" s="756"/>
    </row>
    <row r="3" spans="1:11" ht="12.75">
      <c r="A3" s="748" t="s">
        <v>366</v>
      </c>
      <c r="B3" s="748"/>
      <c r="C3" s="748"/>
      <c r="D3" s="748"/>
      <c r="E3" s="748"/>
      <c r="F3" s="748"/>
      <c r="G3" s="748"/>
      <c r="H3" s="748"/>
      <c r="I3" s="748"/>
      <c r="J3" s="748"/>
      <c r="K3" s="748"/>
    </row>
    <row r="4" spans="1:11" ht="12.75">
      <c r="A4" s="757" t="s">
        <v>0</v>
      </c>
      <c r="B4" s="752" t="s">
        <v>94</v>
      </c>
      <c r="C4" s="744" t="s">
        <v>578</v>
      </c>
      <c r="D4" s="746"/>
      <c r="E4" s="746"/>
      <c r="F4" s="746"/>
      <c r="G4" s="746"/>
      <c r="H4" s="746"/>
      <c r="I4" s="746"/>
      <c r="J4" s="746"/>
      <c r="K4" s="747"/>
    </row>
    <row r="5" spans="1:11" ht="27" customHeight="1">
      <c r="A5" s="757"/>
      <c r="B5" s="752"/>
      <c r="C5" s="745"/>
      <c r="D5" s="324">
        <v>2009</v>
      </c>
      <c r="E5" s="324">
        <v>2010</v>
      </c>
      <c r="F5" s="324">
        <v>2011</v>
      </c>
      <c r="G5" s="324">
        <v>2012</v>
      </c>
      <c r="H5" s="324">
        <v>2013</v>
      </c>
      <c r="I5" s="324">
        <v>2014</v>
      </c>
      <c r="J5" s="324">
        <v>2015</v>
      </c>
      <c r="K5" s="324">
        <v>2016</v>
      </c>
    </row>
    <row r="6" spans="1:11" s="323" customFormat="1" ht="12.75">
      <c r="A6" s="322">
        <v>1</v>
      </c>
      <c r="B6" s="322">
        <v>2</v>
      </c>
      <c r="C6" s="322">
        <v>3</v>
      </c>
      <c r="D6" s="322">
        <v>6</v>
      </c>
      <c r="E6" s="322">
        <v>7</v>
      </c>
      <c r="F6" s="322">
        <v>8</v>
      </c>
      <c r="G6" s="322">
        <v>9</v>
      </c>
      <c r="H6" s="322">
        <v>10</v>
      </c>
      <c r="I6" s="322">
        <v>11</v>
      </c>
      <c r="J6" s="322">
        <v>12</v>
      </c>
      <c r="K6" s="322">
        <v>13</v>
      </c>
    </row>
    <row r="7" spans="1:11" ht="24.75" customHeight="1">
      <c r="A7" s="298" t="s">
        <v>125</v>
      </c>
      <c r="B7" s="326" t="s">
        <v>412</v>
      </c>
      <c r="C7" s="546">
        <f aca="true" t="shared" si="0" ref="C7:K7">C8+C11</f>
        <v>5736448</v>
      </c>
      <c r="D7" s="546">
        <f t="shared" si="0"/>
        <v>23464075</v>
      </c>
      <c r="E7" s="546">
        <f t="shared" si="0"/>
        <v>22172869</v>
      </c>
      <c r="F7" s="546">
        <f t="shared" si="0"/>
        <v>17542563</v>
      </c>
      <c r="G7" s="546">
        <f t="shared" si="0"/>
        <v>12962763</v>
      </c>
      <c r="H7" s="546">
        <f t="shared" si="0"/>
        <v>8588233</v>
      </c>
      <c r="I7" s="546">
        <f t="shared" si="0"/>
        <v>8231826</v>
      </c>
      <c r="J7" s="546">
        <f t="shared" si="0"/>
        <v>7875419</v>
      </c>
      <c r="K7" s="546">
        <f t="shared" si="0"/>
        <v>7519012</v>
      </c>
    </row>
    <row r="8" spans="1:11" ht="14.25" customHeight="1">
      <c r="A8" s="298" t="s">
        <v>367</v>
      </c>
      <c r="B8" s="327" t="s">
        <v>413</v>
      </c>
      <c r="C8" s="548">
        <f aca="true" t="shared" si="1" ref="C8:K8">C9+C10</f>
        <v>5736448</v>
      </c>
      <c r="D8" s="548">
        <f t="shared" si="1"/>
        <v>5736448</v>
      </c>
      <c r="E8" s="548">
        <f t="shared" si="1"/>
        <v>22172869</v>
      </c>
      <c r="F8" s="548">
        <f t="shared" si="1"/>
        <v>17542563</v>
      </c>
      <c r="G8" s="548">
        <f t="shared" si="1"/>
        <v>12962763</v>
      </c>
      <c r="H8" s="548">
        <f t="shared" si="1"/>
        <v>8588233</v>
      </c>
      <c r="I8" s="548">
        <f t="shared" si="1"/>
        <v>8231826</v>
      </c>
      <c r="J8" s="548">
        <f t="shared" si="1"/>
        <v>7875419</v>
      </c>
      <c r="K8" s="548">
        <f t="shared" si="1"/>
        <v>7519012</v>
      </c>
    </row>
    <row r="9" spans="1:11" ht="14.25" customHeight="1">
      <c r="A9" s="299" t="s">
        <v>368</v>
      </c>
      <c r="B9" s="328" t="s">
        <v>369</v>
      </c>
      <c r="C9" s="548">
        <v>3691289.79</v>
      </c>
      <c r="D9" s="547">
        <f>C9</f>
        <v>3691290</v>
      </c>
      <c r="E9" s="547">
        <f aca="true" t="shared" si="2" ref="E9:K10">D9+D12-D16</f>
        <v>2982654</v>
      </c>
      <c r="F9" s="547">
        <f t="shared" si="2"/>
        <v>2351118</v>
      </c>
      <c r="G9" s="547">
        <f t="shared" si="2"/>
        <v>1719682</v>
      </c>
      <c r="H9" s="547">
        <f t="shared" si="2"/>
        <v>911755</v>
      </c>
      <c r="I9" s="547">
        <f t="shared" si="2"/>
        <v>675719</v>
      </c>
      <c r="J9" s="547">
        <f t="shared" si="2"/>
        <v>439683</v>
      </c>
      <c r="K9" s="547">
        <f t="shared" si="2"/>
        <v>214447</v>
      </c>
    </row>
    <row r="10" spans="1:11" ht="14.25" customHeight="1">
      <c r="A10" s="299" t="s">
        <v>370</v>
      </c>
      <c r="B10" s="328" t="s">
        <v>371</v>
      </c>
      <c r="C10" s="548">
        <f>2545163.96-16200-483806.23</f>
        <v>2045158</v>
      </c>
      <c r="D10" s="547">
        <f>C10</f>
        <v>2045158</v>
      </c>
      <c r="E10" s="547">
        <f t="shared" si="2"/>
        <v>19190215</v>
      </c>
      <c r="F10" s="547">
        <f t="shared" si="2"/>
        <v>15191445</v>
      </c>
      <c r="G10" s="547">
        <f t="shared" si="2"/>
        <v>11243081</v>
      </c>
      <c r="H10" s="547">
        <f t="shared" si="2"/>
        <v>7676478</v>
      </c>
      <c r="I10" s="547">
        <f t="shared" si="2"/>
        <v>7556107</v>
      </c>
      <c r="J10" s="547">
        <f t="shared" si="2"/>
        <v>7435736</v>
      </c>
      <c r="K10" s="547">
        <f t="shared" si="2"/>
        <v>7304565</v>
      </c>
    </row>
    <row r="11" spans="1:11" ht="14.25" customHeight="1">
      <c r="A11" s="298" t="s">
        <v>372</v>
      </c>
      <c r="B11" s="329" t="s">
        <v>415</v>
      </c>
      <c r="C11" s="548">
        <f aca="true" t="shared" si="3" ref="C11:K11">C12+C13</f>
        <v>0</v>
      </c>
      <c r="D11" s="548">
        <f t="shared" si="3"/>
        <v>17727627</v>
      </c>
      <c r="E11" s="548">
        <f t="shared" si="3"/>
        <v>0</v>
      </c>
      <c r="F11" s="548">
        <f t="shared" si="3"/>
        <v>0</v>
      </c>
      <c r="G11" s="548">
        <f t="shared" si="3"/>
        <v>0</v>
      </c>
      <c r="H11" s="548">
        <f t="shared" si="3"/>
        <v>0</v>
      </c>
      <c r="I11" s="548">
        <f t="shared" si="3"/>
        <v>0</v>
      </c>
      <c r="J11" s="548">
        <f t="shared" si="3"/>
        <v>0</v>
      </c>
      <c r="K11" s="548">
        <f t="shared" si="3"/>
        <v>0</v>
      </c>
    </row>
    <row r="12" spans="1:11" ht="14.25" customHeight="1">
      <c r="A12" s="299" t="s">
        <v>373</v>
      </c>
      <c r="B12" s="328" t="s">
        <v>374</v>
      </c>
      <c r="C12" s="548"/>
      <c r="D12" s="548"/>
      <c r="E12" s="548"/>
      <c r="F12" s="548"/>
      <c r="G12" s="548"/>
      <c r="H12" s="548"/>
      <c r="I12" s="548"/>
      <c r="J12" s="548"/>
      <c r="K12" s="548"/>
    </row>
    <row r="13" spans="1:11" ht="14.25" customHeight="1">
      <c r="A13" s="299" t="s">
        <v>375</v>
      </c>
      <c r="B13" s="328" t="s">
        <v>388</v>
      </c>
      <c r="C13" s="548"/>
      <c r="D13" s="548">
        <f>Przychody!C21</f>
        <v>17727627</v>
      </c>
      <c r="E13" s="548"/>
      <c r="F13" s="548"/>
      <c r="G13" s="548"/>
      <c r="H13" s="548"/>
      <c r="I13" s="548"/>
      <c r="J13" s="548"/>
      <c r="K13" s="548"/>
    </row>
    <row r="14" spans="1:11" ht="14.25" customHeight="1">
      <c r="A14" s="298">
        <v>2</v>
      </c>
      <c r="B14" s="326" t="s">
        <v>376</v>
      </c>
      <c r="C14" s="546"/>
      <c r="D14" s="546">
        <f>D15+D18</f>
        <v>1711206</v>
      </c>
      <c r="E14" s="546">
        <f aca="true" t="shared" si="4" ref="E14:K14">E15+E18</f>
        <v>5010306</v>
      </c>
      <c r="F14" s="546">
        <f t="shared" si="4"/>
        <v>4899800</v>
      </c>
      <c r="G14" s="546">
        <f t="shared" si="4"/>
        <v>4654530</v>
      </c>
      <c r="H14" s="546">
        <f t="shared" si="4"/>
        <v>556407</v>
      </c>
      <c r="I14" s="546">
        <f t="shared" si="4"/>
        <v>506407</v>
      </c>
      <c r="J14" s="546">
        <f t="shared" si="4"/>
        <v>456407</v>
      </c>
      <c r="K14" s="546">
        <f t="shared" si="4"/>
        <v>384818</v>
      </c>
    </row>
    <row r="15" spans="1:11" ht="14.25" customHeight="1">
      <c r="A15" s="298" t="s">
        <v>377</v>
      </c>
      <c r="B15" s="326" t="s">
        <v>414</v>
      </c>
      <c r="C15" s="546"/>
      <c r="D15" s="546">
        <f aca="true" t="shared" si="5" ref="D15:K15">D16+D17</f>
        <v>1291206</v>
      </c>
      <c r="E15" s="546">
        <f t="shared" si="5"/>
        <v>4630306</v>
      </c>
      <c r="F15" s="546">
        <f t="shared" si="5"/>
        <v>4579800</v>
      </c>
      <c r="G15" s="546">
        <f t="shared" si="5"/>
        <v>4374530</v>
      </c>
      <c r="H15" s="546">
        <f t="shared" si="5"/>
        <v>356407</v>
      </c>
      <c r="I15" s="546">
        <f t="shared" si="5"/>
        <v>356407</v>
      </c>
      <c r="J15" s="546">
        <f t="shared" si="5"/>
        <v>356407</v>
      </c>
      <c r="K15" s="546">
        <f t="shared" si="5"/>
        <v>334818</v>
      </c>
    </row>
    <row r="16" spans="1:12" ht="14.25" customHeight="1">
      <c r="A16" s="299" t="s">
        <v>378</v>
      </c>
      <c r="B16" s="328" t="s">
        <v>369</v>
      </c>
      <c r="C16" s="548"/>
      <c r="D16" s="680">
        <f>692436+16200</f>
        <v>708636</v>
      </c>
      <c r="E16" s="680">
        <v>631536</v>
      </c>
      <c r="F16" s="680">
        <v>631436</v>
      </c>
      <c r="G16" s="680">
        <v>807927</v>
      </c>
      <c r="H16" s="680">
        <v>236036</v>
      </c>
      <c r="I16" s="680">
        <v>236036</v>
      </c>
      <c r="J16" s="680">
        <v>225236</v>
      </c>
      <c r="K16" s="680">
        <v>214447</v>
      </c>
      <c r="L16" s="330"/>
    </row>
    <row r="17" spans="1:12" ht="14.25" customHeight="1">
      <c r="A17" s="299" t="s">
        <v>379</v>
      </c>
      <c r="B17" s="328" t="s">
        <v>371</v>
      </c>
      <c r="C17" s="548"/>
      <c r="D17" s="680">
        <f>598770-16200</f>
        <v>582570</v>
      </c>
      <c r="E17" s="680">
        <f>4198770-200000</f>
        <v>3998770</v>
      </c>
      <c r="F17" s="690">
        <v>3948364</v>
      </c>
      <c r="G17" s="680">
        <v>3566603</v>
      </c>
      <c r="H17" s="680">
        <v>120371</v>
      </c>
      <c r="I17" s="680">
        <v>120371</v>
      </c>
      <c r="J17" s="680">
        <v>131171</v>
      </c>
      <c r="K17" s="680">
        <v>120371</v>
      </c>
      <c r="L17" s="330"/>
    </row>
    <row r="18" spans="1:11" ht="14.25" customHeight="1">
      <c r="A18" s="298" t="s">
        <v>380</v>
      </c>
      <c r="B18" s="329" t="s">
        <v>381</v>
      </c>
      <c r="C18" s="549"/>
      <c r="D18" s="549">
        <v>420000</v>
      </c>
      <c r="E18" s="549">
        <v>380000</v>
      </c>
      <c r="F18" s="549">
        <v>320000</v>
      </c>
      <c r="G18" s="549">
        <v>280000</v>
      </c>
      <c r="H18" s="549">
        <v>200000</v>
      </c>
      <c r="I18" s="549">
        <v>150000</v>
      </c>
      <c r="J18" s="549">
        <v>100000</v>
      </c>
      <c r="K18" s="549">
        <v>50000</v>
      </c>
    </row>
    <row r="19" spans="1:11" ht="15" customHeight="1">
      <c r="A19" s="298" t="s">
        <v>129</v>
      </c>
      <c r="B19" s="326" t="s">
        <v>382</v>
      </c>
      <c r="C19" s="546"/>
      <c r="D19" s="546">
        <f>Dochody!D63</f>
        <v>35765593</v>
      </c>
      <c r="E19" s="546">
        <f aca="true" t="shared" si="6" ref="E19:K20">D19+500000</f>
        <v>36265593</v>
      </c>
      <c r="F19" s="546">
        <f t="shared" si="6"/>
        <v>36765593</v>
      </c>
      <c r="G19" s="546">
        <f t="shared" si="6"/>
        <v>37265593</v>
      </c>
      <c r="H19" s="546">
        <f t="shared" si="6"/>
        <v>37765593</v>
      </c>
      <c r="I19" s="546">
        <f t="shared" si="6"/>
        <v>38265593</v>
      </c>
      <c r="J19" s="546">
        <f t="shared" si="6"/>
        <v>38765593</v>
      </c>
      <c r="K19" s="546">
        <f t="shared" si="6"/>
        <v>39265593</v>
      </c>
    </row>
    <row r="20" spans="1:11" ht="15" customHeight="1">
      <c r="A20" s="298" t="s">
        <v>131</v>
      </c>
      <c r="B20" s="326" t="s">
        <v>383</v>
      </c>
      <c r="C20" s="546"/>
      <c r="D20" s="546">
        <f>Wydatki!C273</f>
        <v>52202013</v>
      </c>
      <c r="E20" s="546">
        <f>E19+500000</f>
        <v>36765593</v>
      </c>
      <c r="F20" s="546">
        <f t="shared" si="6"/>
        <v>37265593</v>
      </c>
      <c r="G20" s="546">
        <f t="shared" si="6"/>
        <v>37765593</v>
      </c>
      <c r="H20" s="546">
        <f t="shared" si="6"/>
        <v>38265593</v>
      </c>
      <c r="I20" s="546">
        <f t="shared" si="6"/>
        <v>38765593</v>
      </c>
      <c r="J20" s="546">
        <f t="shared" si="6"/>
        <v>39265593</v>
      </c>
      <c r="K20" s="546">
        <f t="shared" si="6"/>
        <v>39765593</v>
      </c>
    </row>
    <row r="21" spans="1:11" ht="15" customHeight="1">
      <c r="A21" s="298" t="s">
        <v>133</v>
      </c>
      <c r="B21" s="326" t="s">
        <v>384</v>
      </c>
      <c r="C21" s="546"/>
      <c r="D21" s="546">
        <f aca="true" t="shared" si="7" ref="D21:K21">D19-D20</f>
        <v>-16436420</v>
      </c>
      <c r="E21" s="546">
        <f t="shared" si="7"/>
        <v>-500000</v>
      </c>
      <c r="F21" s="546">
        <f t="shared" si="7"/>
        <v>-500000</v>
      </c>
      <c r="G21" s="546">
        <f t="shared" si="7"/>
        <v>-500000</v>
      </c>
      <c r="H21" s="546">
        <f t="shared" si="7"/>
        <v>-500000</v>
      </c>
      <c r="I21" s="546">
        <f t="shared" si="7"/>
        <v>-500000</v>
      </c>
      <c r="J21" s="546">
        <f t="shared" si="7"/>
        <v>-500000</v>
      </c>
      <c r="K21" s="546">
        <f t="shared" si="7"/>
        <v>-500000</v>
      </c>
    </row>
    <row r="22" spans="1:11" ht="12" customHeight="1">
      <c r="A22" s="298" t="s">
        <v>134</v>
      </c>
      <c r="B22" s="326" t="s">
        <v>385</v>
      </c>
      <c r="C22" s="546"/>
      <c r="D22" s="546"/>
      <c r="E22" s="546"/>
      <c r="F22" s="546"/>
      <c r="G22" s="546"/>
      <c r="H22" s="546"/>
      <c r="I22" s="546"/>
      <c r="J22" s="546"/>
      <c r="K22" s="546"/>
    </row>
    <row r="23" spans="1:11" ht="12" customHeight="1">
      <c r="A23" s="298" t="s">
        <v>386</v>
      </c>
      <c r="B23" s="329" t="s">
        <v>416</v>
      </c>
      <c r="C23" s="548"/>
      <c r="D23" s="550">
        <f aca="true" t="shared" si="8" ref="D23:K23">(D8+D11-D15)/D19%</f>
        <v>62</v>
      </c>
      <c r="E23" s="550">
        <f t="shared" si="8"/>
        <v>48.4</v>
      </c>
      <c r="F23" s="550">
        <f t="shared" si="8"/>
        <v>35.3</v>
      </c>
      <c r="G23" s="550">
        <f t="shared" si="8"/>
        <v>23</v>
      </c>
      <c r="H23" s="550">
        <f t="shared" si="8"/>
        <v>21.8</v>
      </c>
      <c r="I23" s="550">
        <f t="shared" si="8"/>
        <v>20.6</v>
      </c>
      <c r="J23" s="550">
        <f t="shared" si="8"/>
        <v>19.4</v>
      </c>
      <c r="K23" s="550">
        <f t="shared" si="8"/>
        <v>18.3</v>
      </c>
    </row>
    <row r="24" spans="1:11" ht="12" customHeight="1">
      <c r="A24" s="298" t="s">
        <v>387</v>
      </c>
      <c r="B24" s="329" t="s">
        <v>417</v>
      </c>
      <c r="C24" s="548"/>
      <c r="D24" s="550">
        <f aca="true" t="shared" si="9" ref="D24:K24">(D15+D18)/D19%</f>
        <v>4.8</v>
      </c>
      <c r="E24" s="550">
        <f t="shared" si="9"/>
        <v>13.8</v>
      </c>
      <c r="F24" s="550">
        <f t="shared" si="9"/>
        <v>13.3</v>
      </c>
      <c r="G24" s="550">
        <f t="shared" si="9"/>
        <v>12.5</v>
      </c>
      <c r="H24" s="550">
        <f t="shared" si="9"/>
        <v>1.5</v>
      </c>
      <c r="I24" s="550">
        <f t="shared" si="9"/>
        <v>1.3</v>
      </c>
      <c r="J24" s="550">
        <f t="shared" si="9"/>
        <v>1.2</v>
      </c>
      <c r="K24" s="550">
        <f t="shared" si="9"/>
        <v>1</v>
      </c>
    </row>
    <row r="25" spans="1:11" ht="25.5" customHeight="1">
      <c r="A25" s="676">
        <v>7</v>
      </c>
      <c r="B25" s="677" t="s">
        <v>654</v>
      </c>
      <c r="C25" s="678">
        <f>C7</f>
        <v>5736448</v>
      </c>
      <c r="D25" s="678">
        <f>D7-D15</f>
        <v>22172869</v>
      </c>
      <c r="E25" s="678">
        <f aca="true" t="shared" si="10" ref="E25:K25">E7-E15</f>
        <v>17542563</v>
      </c>
      <c r="F25" s="678">
        <f t="shared" si="10"/>
        <v>12962763</v>
      </c>
      <c r="G25" s="678">
        <f t="shared" si="10"/>
        <v>8588233</v>
      </c>
      <c r="H25" s="678">
        <f t="shared" si="10"/>
        <v>8231826</v>
      </c>
      <c r="I25" s="678">
        <f t="shared" si="10"/>
        <v>7875419</v>
      </c>
      <c r="J25" s="678">
        <f t="shared" si="10"/>
        <v>7519012</v>
      </c>
      <c r="K25" s="678">
        <f t="shared" si="10"/>
        <v>7184194</v>
      </c>
    </row>
    <row r="26" ht="13.5">
      <c r="D26" s="551"/>
    </row>
    <row r="28" spans="4:12" ht="13.5">
      <c r="D28" s="691"/>
      <c r="E28" s="690"/>
      <c r="F28" s="690"/>
      <c r="G28" s="690"/>
      <c r="H28" s="690"/>
      <c r="I28" s="690"/>
      <c r="J28" s="690"/>
      <c r="K28" s="690"/>
      <c r="L28" s="690"/>
    </row>
    <row r="29" spans="4:12" ht="13.5">
      <c r="D29" s="691"/>
      <c r="E29" s="690"/>
      <c r="F29" s="690"/>
      <c r="G29" s="690"/>
      <c r="H29" s="690"/>
      <c r="I29" s="690"/>
      <c r="J29" s="690"/>
      <c r="K29" s="690"/>
      <c r="L29" s="690"/>
    </row>
    <row r="30" spans="4:12" ht="13.5">
      <c r="D30" s="691"/>
      <c r="E30" s="691"/>
      <c r="F30" s="691"/>
      <c r="G30" s="691"/>
      <c r="H30" s="691"/>
      <c r="I30" s="691"/>
      <c r="J30" s="691"/>
      <c r="K30" s="691"/>
      <c r="L30" s="691"/>
    </row>
  </sheetData>
  <mergeCells count="7">
    <mergeCell ref="E1:H1"/>
    <mergeCell ref="A2:G2"/>
    <mergeCell ref="A4:A5"/>
    <mergeCell ref="B4:B5"/>
    <mergeCell ref="C4:C5"/>
    <mergeCell ref="D4:K4"/>
    <mergeCell ref="A3:K3"/>
  </mergeCells>
  <printOptions/>
  <pageMargins left="0.97" right="0.25" top="0.3" bottom="0.3" header="0.18" footer="0.2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B32" sqref="B32"/>
    </sheetView>
  </sheetViews>
  <sheetFormatPr defaultColWidth="9.00390625" defaultRowHeight="12.75"/>
  <cols>
    <col min="1" max="1" width="3.625" style="307" bestFit="1" customWidth="1"/>
    <col min="2" max="2" width="53.75390625" style="331" customWidth="1"/>
    <col min="3" max="3" width="12.875" style="311" customWidth="1"/>
    <col min="4" max="7" width="13.25390625" style="307" customWidth="1"/>
    <col min="8" max="8" width="11.875" style="307" customWidth="1"/>
    <col min="9" max="16384" width="10.25390625" style="307" customWidth="1"/>
  </cols>
  <sheetData>
    <row r="1" spans="6:9" ht="12.75">
      <c r="F1" s="131" t="s">
        <v>404</v>
      </c>
      <c r="G1" s="131"/>
      <c r="H1" s="131"/>
      <c r="I1" s="131"/>
    </row>
    <row r="3" spans="1:7" ht="16.5" customHeight="1">
      <c r="A3" s="809" t="s">
        <v>401</v>
      </c>
      <c r="B3" s="809"/>
      <c r="C3" s="809"/>
      <c r="D3" s="809"/>
      <c r="E3" s="809"/>
      <c r="F3" s="809"/>
      <c r="G3" s="809"/>
    </row>
    <row r="4" spans="1:7" ht="16.5" customHeight="1">
      <c r="A4" s="809"/>
      <c r="B4" s="809"/>
      <c r="C4" s="809"/>
      <c r="D4" s="809"/>
      <c r="E4" s="809"/>
      <c r="F4" s="809"/>
      <c r="G4" s="809"/>
    </row>
    <row r="5" spans="1:7" ht="16.5" customHeight="1">
      <c r="A5" s="312"/>
      <c r="B5" s="332"/>
      <c r="C5" s="312"/>
      <c r="D5" s="312"/>
      <c r="E5" s="312"/>
      <c r="F5" s="312"/>
      <c r="G5" s="312"/>
    </row>
    <row r="6" spans="1:7" ht="11.25" customHeight="1">
      <c r="A6" s="812" t="s">
        <v>0</v>
      </c>
      <c r="B6" s="814" t="s">
        <v>397</v>
      </c>
      <c r="C6" s="810" t="s">
        <v>400</v>
      </c>
      <c r="D6" s="810" t="s">
        <v>402</v>
      </c>
      <c r="E6" s="816" t="s">
        <v>398</v>
      </c>
      <c r="F6" s="817"/>
      <c r="G6" s="818"/>
    </row>
    <row r="7" spans="1:7" ht="11.25" customHeight="1">
      <c r="A7" s="813"/>
      <c r="B7" s="815"/>
      <c r="C7" s="811"/>
      <c r="D7" s="811"/>
      <c r="E7" s="810" t="s">
        <v>602</v>
      </c>
      <c r="F7" s="810" t="s">
        <v>603</v>
      </c>
      <c r="G7" s="314" t="s">
        <v>581</v>
      </c>
    </row>
    <row r="8" spans="1:7" ht="11.25" customHeight="1">
      <c r="A8" s="813"/>
      <c r="B8" s="815"/>
      <c r="C8" s="811"/>
      <c r="D8" s="811"/>
      <c r="E8" s="811"/>
      <c r="F8" s="811"/>
      <c r="G8" s="810" t="s">
        <v>403</v>
      </c>
    </row>
    <row r="9" spans="1:7" ht="14.25" customHeight="1">
      <c r="A9" s="813"/>
      <c r="B9" s="815"/>
      <c r="C9" s="811"/>
      <c r="D9" s="811"/>
      <c r="E9" s="811"/>
      <c r="F9" s="811"/>
      <c r="G9" s="811"/>
    </row>
    <row r="10" spans="1:7" ht="12.75" customHeight="1">
      <c r="A10" s="813"/>
      <c r="B10" s="815"/>
      <c r="C10" s="811"/>
      <c r="D10" s="811"/>
      <c r="E10" s="811"/>
      <c r="F10" s="811"/>
      <c r="G10" s="811"/>
    </row>
    <row r="11" spans="1:7" ht="7.5" customHeight="1">
      <c r="A11" s="308">
        <v>1</v>
      </c>
      <c r="B11" s="333">
        <v>2</v>
      </c>
      <c r="C11" s="308">
        <v>4</v>
      </c>
      <c r="D11" s="308">
        <v>5</v>
      </c>
      <c r="E11" s="308">
        <v>6</v>
      </c>
      <c r="F11" s="308">
        <v>7</v>
      </c>
      <c r="G11" s="308">
        <v>8</v>
      </c>
    </row>
    <row r="12" spans="1:7" s="309" customFormat="1" ht="15" customHeight="1">
      <c r="A12" s="799">
        <v>1</v>
      </c>
      <c r="B12" s="334" t="s">
        <v>597</v>
      </c>
      <c r="C12" s="803"/>
      <c r="D12" s="804"/>
      <c r="E12" s="804"/>
      <c r="F12" s="804"/>
      <c r="G12" s="805"/>
    </row>
    <row r="13" spans="1:7" ht="11.25">
      <c r="A13" s="800"/>
      <c r="B13" s="335" t="s">
        <v>598</v>
      </c>
      <c r="C13" s="806"/>
      <c r="D13" s="807"/>
      <c r="E13" s="807"/>
      <c r="F13" s="807"/>
      <c r="G13" s="808"/>
    </row>
    <row r="14" spans="1:7" ht="22.5">
      <c r="A14" s="800"/>
      <c r="B14" s="315" t="s">
        <v>599</v>
      </c>
      <c r="C14" s="806"/>
      <c r="D14" s="807"/>
      <c r="E14" s="807"/>
      <c r="F14" s="807"/>
      <c r="G14" s="808"/>
    </row>
    <row r="15" spans="1:7" ht="12.75" customHeight="1">
      <c r="A15" s="800"/>
      <c r="B15" s="315" t="s">
        <v>600</v>
      </c>
      <c r="C15" s="806"/>
      <c r="D15" s="807"/>
      <c r="E15" s="807"/>
      <c r="F15" s="807"/>
      <c r="G15" s="808"/>
    </row>
    <row r="16" spans="1:7" ht="12.75" customHeight="1">
      <c r="A16" s="801"/>
      <c r="B16" s="669" t="s">
        <v>651</v>
      </c>
      <c r="C16" s="670"/>
      <c r="D16" s="671"/>
      <c r="E16" s="671"/>
      <c r="F16" s="671"/>
      <c r="G16" s="672"/>
    </row>
    <row r="17" spans="1:7" ht="11.25">
      <c r="A17" s="802"/>
      <c r="B17" s="336" t="s">
        <v>399</v>
      </c>
      <c r="C17" s="310" t="s">
        <v>601</v>
      </c>
      <c r="D17" s="313">
        <v>89436</v>
      </c>
      <c r="E17" s="313">
        <v>1000</v>
      </c>
      <c r="F17" s="313">
        <v>51550</v>
      </c>
      <c r="G17" s="313">
        <f>E17+F17</f>
        <v>52550</v>
      </c>
    </row>
    <row r="18" spans="1:7" ht="11.25">
      <c r="A18" s="799">
        <v>2</v>
      </c>
      <c r="B18" s="334" t="s">
        <v>597</v>
      </c>
      <c r="C18" s="803"/>
      <c r="D18" s="804"/>
      <c r="E18" s="804"/>
      <c r="F18" s="804"/>
      <c r="G18" s="805"/>
    </row>
    <row r="19" spans="1:7" ht="11.25">
      <c r="A19" s="800"/>
      <c r="B19" s="335" t="s">
        <v>598</v>
      </c>
      <c r="C19" s="806"/>
      <c r="D19" s="807"/>
      <c r="E19" s="807"/>
      <c r="F19" s="807"/>
      <c r="G19" s="808"/>
    </row>
    <row r="20" spans="1:7" ht="22.5">
      <c r="A20" s="800"/>
      <c r="B20" s="315" t="s">
        <v>599</v>
      </c>
      <c r="C20" s="806"/>
      <c r="D20" s="807"/>
      <c r="E20" s="807"/>
      <c r="F20" s="807"/>
      <c r="G20" s="808"/>
    </row>
    <row r="21" spans="1:7" ht="11.25">
      <c r="A21" s="800"/>
      <c r="B21" s="315" t="s">
        <v>675</v>
      </c>
      <c r="C21" s="806"/>
      <c r="D21" s="807"/>
      <c r="E21" s="807"/>
      <c r="F21" s="807"/>
      <c r="G21" s="808"/>
    </row>
    <row r="22" spans="1:7" ht="11.25">
      <c r="A22" s="801"/>
      <c r="B22" s="669" t="s">
        <v>667</v>
      </c>
      <c r="C22" s="670"/>
      <c r="D22" s="671"/>
      <c r="E22" s="671"/>
      <c r="F22" s="671"/>
      <c r="G22" s="672"/>
    </row>
    <row r="23" spans="1:7" ht="11.25">
      <c r="A23" s="802"/>
      <c r="B23" s="336" t="s">
        <v>399</v>
      </c>
      <c r="C23" s="310" t="s">
        <v>601</v>
      </c>
      <c r="D23" s="683">
        <v>66177.5</v>
      </c>
      <c r="E23" s="313">
        <v>592.66</v>
      </c>
      <c r="F23" s="313">
        <v>39882.34</v>
      </c>
      <c r="G23" s="313">
        <f>E23+F23</f>
        <v>40475</v>
      </c>
    </row>
    <row r="24" spans="4:7" ht="11.25">
      <c r="D24" s="682">
        <f>D17+D23</f>
        <v>155613.5</v>
      </c>
      <c r="E24" s="682">
        <f>E17+E23</f>
        <v>1592.66</v>
      </c>
      <c r="F24" s="682">
        <f>F17+F23</f>
        <v>91432.34</v>
      </c>
      <c r="G24" s="682">
        <f>G17+G23</f>
        <v>93025</v>
      </c>
    </row>
  </sheetData>
  <mergeCells count="13">
    <mergeCell ref="A3:G4"/>
    <mergeCell ref="G8:G10"/>
    <mergeCell ref="A6:A10"/>
    <mergeCell ref="B6:B10"/>
    <mergeCell ref="C6:C10"/>
    <mergeCell ref="D6:D10"/>
    <mergeCell ref="E7:E10"/>
    <mergeCell ref="F7:F10"/>
    <mergeCell ref="E6:G6"/>
    <mergeCell ref="A12:A17"/>
    <mergeCell ref="C12:G15"/>
    <mergeCell ref="A18:A23"/>
    <mergeCell ref="C18:G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07"/>
  <sheetViews>
    <sheetView workbookViewId="0" topLeftCell="A1">
      <selection activeCell="F66" sqref="F66"/>
    </sheetView>
  </sheetViews>
  <sheetFormatPr defaultColWidth="9.00390625" defaultRowHeight="12.75"/>
  <cols>
    <col min="1" max="1" width="4.75390625" style="649" customWidth="1"/>
    <col min="2" max="2" width="49.625" style="3" customWidth="1"/>
    <col min="3" max="5" width="11.625" style="6" customWidth="1"/>
    <col min="6" max="6" width="11.125" style="650" customWidth="1"/>
    <col min="7" max="7" width="6.00390625" style="650" customWidth="1"/>
    <col min="8" max="9" width="11.125" style="736" customWidth="1"/>
    <col min="10" max="10" width="11.125" style="711" customWidth="1"/>
  </cols>
  <sheetData>
    <row r="1" spans="8:9" ht="13.5">
      <c r="H1" s="856" t="s">
        <v>604</v>
      </c>
      <c r="I1" s="856"/>
    </row>
    <row r="2" spans="1:9" ht="18">
      <c r="A2" s="857" t="s">
        <v>671</v>
      </c>
      <c r="B2" s="857"/>
      <c r="C2" s="857"/>
      <c r="D2" s="857"/>
      <c r="E2" s="857"/>
      <c r="F2" s="857"/>
      <c r="G2" s="857"/>
      <c r="H2" s="857"/>
      <c r="I2" s="857"/>
    </row>
    <row r="3" spans="1:9" ht="13.5">
      <c r="A3" s="858"/>
      <c r="B3" s="858"/>
      <c r="C3" s="858"/>
      <c r="D3" s="858"/>
      <c r="E3" s="858"/>
      <c r="F3" s="858"/>
      <c r="G3" s="858"/>
      <c r="H3" s="858"/>
      <c r="I3" s="858"/>
    </row>
    <row r="4" spans="1:9" ht="13.5">
      <c r="A4" s="649" t="s">
        <v>445</v>
      </c>
      <c r="B4" s="859" t="s">
        <v>605</v>
      </c>
      <c r="C4" s="859"/>
      <c r="D4" s="859"/>
      <c r="E4" s="859"/>
      <c r="F4" s="859"/>
      <c r="G4" s="859"/>
      <c r="H4" s="859"/>
      <c r="I4" s="859"/>
    </row>
    <row r="5" spans="1:9" ht="13.5">
      <c r="A5" s="842" t="s">
        <v>606</v>
      </c>
      <c r="B5" s="842" t="s">
        <v>607</v>
      </c>
      <c r="C5" s="843" t="s">
        <v>608</v>
      </c>
      <c r="D5" s="843" t="s">
        <v>609</v>
      </c>
      <c r="E5" s="843" t="s">
        <v>610</v>
      </c>
      <c r="F5" s="843" t="s">
        <v>611</v>
      </c>
      <c r="G5" s="847" t="s">
        <v>612</v>
      </c>
      <c r="H5" s="848"/>
      <c r="I5" s="849"/>
    </row>
    <row r="6" spans="1:9" ht="13.5" customHeight="1">
      <c r="A6" s="822"/>
      <c r="B6" s="822"/>
      <c r="C6" s="822"/>
      <c r="D6" s="822"/>
      <c r="E6" s="822"/>
      <c r="F6" s="822"/>
      <c r="G6" s="843" t="s">
        <v>613</v>
      </c>
      <c r="H6" s="843">
        <v>2009</v>
      </c>
      <c r="I6" s="843">
        <v>2010</v>
      </c>
    </row>
    <row r="7" spans="1:9" ht="13.5" customHeight="1">
      <c r="A7" s="822"/>
      <c r="B7" s="822"/>
      <c r="C7" s="822"/>
      <c r="D7" s="822"/>
      <c r="E7" s="822"/>
      <c r="F7" s="822"/>
      <c r="G7" s="863"/>
      <c r="H7" s="863"/>
      <c r="I7" s="863"/>
    </row>
    <row r="8" spans="1:9" ht="19.5" customHeight="1">
      <c r="A8" s="844">
        <v>1</v>
      </c>
      <c r="B8" s="861" t="s">
        <v>564</v>
      </c>
      <c r="C8" s="844" t="s">
        <v>616</v>
      </c>
      <c r="D8" s="825" t="s">
        <v>617</v>
      </c>
      <c r="E8" s="825" t="s">
        <v>618</v>
      </c>
      <c r="F8" s="840">
        <v>3600000</v>
      </c>
      <c r="G8" s="651" t="s">
        <v>614</v>
      </c>
      <c r="H8" s="712">
        <v>10000</v>
      </c>
      <c r="I8" s="713">
        <v>449000</v>
      </c>
    </row>
    <row r="9" spans="1:9" ht="19.5" customHeight="1">
      <c r="A9" s="860"/>
      <c r="B9" s="862"/>
      <c r="C9" s="860"/>
      <c r="D9" s="852"/>
      <c r="E9" s="852"/>
      <c r="F9" s="824"/>
      <c r="G9" s="652" t="s">
        <v>615</v>
      </c>
      <c r="H9" s="714"/>
      <c r="I9" s="715">
        <v>3060000</v>
      </c>
    </row>
    <row r="10" spans="1:9" ht="13.5">
      <c r="A10" s="653"/>
      <c r="B10" s="654"/>
      <c r="C10" s="654"/>
      <c r="D10" s="654"/>
      <c r="E10" s="654"/>
      <c r="F10" s="655"/>
      <c r="G10" s="656"/>
      <c r="H10" s="716">
        <f>H8+H9</f>
        <v>10000</v>
      </c>
      <c r="I10" s="716">
        <f>I8+I9</f>
        <v>3509000</v>
      </c>
    </row>
    <row r="11" spans="1:9" ht="13.5">
      <c r="A11" s="657" t="s">
        <v>450</v>
      </c>
      <c r="B11" s="819" t="s">
        <v>619</v>
      </c>
      <c r="C11" s="819"/>
      <c r="D11" s="819"/>
      <c r="E11" s="819"/>
      <c r="F11" s="819"/>
      <c r="G11" s="819"/>
      <c r="H11" s="819"/>
      <c r="I11" s="819"/>
    </row>
    <row r="12" spans="1:9" ht="13.5">
      <c r="A12" s="842" t="s">
        <v>606</v>
      </c>
      <c r="B12" s="842" t="s">
        <v>607</v>
      </c>
      <c r="C12" s="843" t="s">
        <v>608</v>
      </c>
      <c r="D12" s="843" t="s">
        <v>609</v>
      </c>
      <c r="E12" s="843" t="s">
        <v>610</v>
      </c>
      <c r="F12" s="843" t="s">
        <v>611</v>
      </c>
      <c r="G12" s="847" t="s">
        <v>612</v>
      </c>
      <c r="H12" s="848"/>
      <c r="I12" s="849"/>
    </row>
    <row r="13" spans="1:9" ht="13.5" customHeight="1">
      <c r="A13" s="822"/>
      <c r="B13" s="822"/>
      <c r="C13" s="822"/>
      <c r="D13" s="822"/>
      <c r="E13" s="822"/>
      <c r="F13" s="822"/>
      <c r="G13" s="843" t="s">
        <v>613</v>
      </c>
      <c r="H13" s="843">
        <v>2009</v>
      </c>
      <c r="I13" s="843">
        <v>2010</v>
      </c>
    </row>
    <row r="14" spans="1:9" ht="13.5" customHeight="1">
      <c r="A14" s="822"/>
      <c r="B14" s="822"/>
      <c r="C14" s="822"/>
      <c r="D14" s="822"/>
      <c r="E14" s="822"/>
      <c r="F14" s="822"/>
      <c r="G14" s="863"/>
      <c r="H14" s="863"/>
      <c r="I14" s="863"/>
    </row>
    <row r="15" spans="1:9" ht="19.5" customHeight="1">
      <c r="A15" s="853">
        <v>1</v>
      </c>
      <c r="B15" s="854" t="s">
        <v>580</v>
      </c>
      <c r="C15" s="855" t="s">
        <v>620</v>
      </c>
      <c r="D15" s="850" t="s">
        <v>617</v>
      </c>
      <c r="E15" s="850" t="s">
        <v>618</v>
      </c>
      <c r="F15" s="851">
        <v>3000000</v>
      </c>
      <c r="G15" s="651" t="s">
        <v>614</v>
      </c>
      <c r="H15" s="712">
        <v>350000</v>
      </c>
      <c r="I15" s="713"/>
    </row>
    <row r="16" spans="1:9" ht="19.5" customHeight="1">
      <c r="A16" s="824"/>
      <c r="B16" s="824"/>
      <c r="C16" s="824"/>
      <c r="D16" s="824"/>
      <c r="E16" s="824"/>
      <c r="F16" s="824"/>
      <c r="G16" s="652" t="s">
        <v>615</v>
      </c>
      <c r="H16" s="714"/>
      <c r="I16" s="715">
        <v>2245300</v>
      </c>
    </row>
    <row r="17" spans="1:9" ht="13.5">
      <c r="A17" s="653"/>
      <c r="B17" s="654"/>
      <c r="C17" s="654"/>
      <c r="D17" s="654"/>
      <c r="E17" s="654"/>
      <c r="F17" s="655"/>
      <c r="G17" s="656"/>
      <c r="H17" s="716">
        <f>H15+H16</f>
        <v>350000</v>
      </c>
      <c r="I17" s="716">
        <f>I15+I16</f>
        <v>2245300</v>
      </c>
    </row>
    <row r="18" spans="1:9" ht="13.5">
      <c r="A18" s="657" t="s">
        <v>621</v>
      </c>
      <c r="B18" s="819" t="s">
        <v>622</v>
      </c>
      <c r="C18" s="819"/>
      <c r="D18" s="819"/>
      <c r="E18" s="819"/>
      <c r="F18" s="819"/>
      <c r="G18" s="819"/>
      <c r="H18" s="819"/>
      <c r="I18" s="819"/>
    </row>
    <row r="19" spans="1:9" ht="13.5">
      <c r="A19" s="842" t="s">
        <v>606</v>
      </c>
      <c r="B19" s="842" t="s">
        <v>607</v>
      </c>
      <c r="C19" s="843" t="s">
        <v>608</v>
      </c>
      <c r="D19" s="843" t="s">
        <v>609</v>
      </c>
      <c r="E19" s="843" t="s">
        <v>610</v>
      </c>
      <c r="F19" s="843" t="s">
        <v>611</v>
      </c>
      <c r="G19" s="847" t="s">
        <v>612</v>
      </c>
      <c r="H19" s="848"/>
      <c r="I19" s="849"/>
    </row>
    <row r="20" spans="1:9" ht="13.5" customHeight="1">
      <c r="A20" s="822"/>
      <c r="B20" s="822"/>
      <c r="C20" s="822"/>
      <c r="D20" s="822"/>
      <c r="E20" s="822"/>
      <c r="F20" s="822"/>
      <c r="G20" s="843" t="s">
        <v>613</v>
      </c>
      <c r="H20" s="843">
        <v>2009</v>
      </c>
      <c r="I20" s="843">
        <v>2010</v>
      </c>
    </row>
    <row r="21" spans="1:9" ht="13.5" customHeight="1">
      <c r="A21" s="822"/>
      <c r="B21" s="822"/>
      <c r="C21" s="822"/>
      <c r="D21" s="822"/>
      <c r="E21" s="822"/>
      <c r="F21" s="822"/>
      <c r="G21" s="863"/>
      <c r="H21" s="863"/>
      <c r="I21" s="863"/>
    </row>
    <row r="22" spans="1:9" ht="19.5" customHeight="1">
      <c r="A22" s="658">
        <v>1</v>
      </c>
      <c r="B22" s="737" t="s">
        <v>592</v>
      </c>
      <c r="C22" s="826" t="s">
        <v>623</v>
      </c>
      <c r="D22" s="826" t="s">
        <v>617</v>
      </c>
      <c r="E22" s="825" t="s">
        <v>618</v>
      </c>
      <c r="F22" s="840">
        <v>1500000</v>
      </c>
      <c r="G22" s="651" t="s">
        <v>614</v>
      </c>
      <c r="H22" s="717">
        <v>28800</v>
      </c>
      <c r="I22" s="718">
        <v>144000</v>
      </c>
    </row>
    <row r="23" spans="1:9" ht="19.5" customHeight="1">
      <c r="A23" s="659"/>
      <c r="B23" s="824"/>
      <c r="C23" s="824"/>
      <c r="D23" s="824"/>
      <c r="E23" s="824"/>
      <c r="F23" s="824"/>
      <c r="G23" s="652" t="s">
        <v>615</v>
      </c>
      <c r="H23" s="652"/>
      <c r="I23" s="719">
        <v>1275000</v>
      </c>
    </row>
    <row r="24" spans="1:9" ht="13.5">
      <c r="A24" s="653"/>
      <c r="B24" s="654"/>
      <c r="C24" s="654"/>
      <c r="D24" s="654"/>
      <c r="E24" s="654"/>
      <c r="F24" s="655"/>
      <c r="G24" s="656"/>
      <c r="H24" s="716">
        <f>H22+H23</f>
        <v>28800</v>
      </c>
      <c r="I24" s="716">
        <f>I22+I23</f>
        <v>1419000</v>
      </c>
    </row>
    <row r="25" spans="1:9" ht="13.5">
      <c r="A25" s="657" t="s">
        <v>624</v>
      </c>
      <c r="B25" s="819" t="s">
        <v>625</v>
      </c>
      <c r="C25" s="819"/>
      <c r="D25" s="819"/>
      <c r="E25" s="819"/>
      <c r="F25" s="819"/>
      <c r="G25" s="819"/>
      <c r="H25" s="819"/>
      <c r="I25" s="819"/>
    </row>
    <row r="26" spans="1:9" ht="13.5">
      <c r="A26" s="842" t="s">
        <v>606</v>
      </c>
      <c r="B26" s="842" t="s">
        <v>607</v>
      </c>
      <c r="C26" s="843" t="s">
        <v>608</v>
      </c>
      <c r="D26" s="843" t="s">
        <v>609</v>
      </c>
      <c r="E26" s="843" t="s">
        <v>610</v>
      </c>
      <c r="F26" s="843" t="s">
        <v>611</v>
      </c>
      <c r="G26" s="847" t="s">
        <v>612</v>
      </c>
      <c r="H26" s="848"/>
      <c r="I26" s="849"/>
    </row>
    <row r="27" spans="1:9" ht="13.5" customHeight="1">
      <c r="A27" s="822"/>
      <c r="B27" s="822"/>
      <c r="C27" s="822"/>
      <c r="D27" s="822"/>
      <c r="E27" s="822"/>
      <c r="F27" s="822"/>
      <c r="G27" s="843" t="s">
        <v>613</v>
      </c>
      <c r="H27" s="843">
        <v>2009</v>
      </c>
      <c r="I27" s="843">
        <v>2010</v>
      </c>
    </row>
    <row r="28" spans="1:9" ht="13.5" customHeight="1">
      <c r="A28" s="822"/>
      <c r="B28" s="822"/>
      <c r="C28" s="822"/>
      <c r="D28" s="822"/>
      <c r="E28" s="822"/>
      <c r="F28" s="822"/>
      <c r="G28" s="863"/>
      <c r="H28" s="863"/>
      <c r="I28" s="863"/>
    </row>
    <row r="29" spans="1:9" ht="19.5" customHeight="1">
      <c r="A29" s="658">
        <v>1</v>
      </c>
      <c r="B29" s="737" t="s">
        <v>626</v>
      </c>
      <c r="C29" s="825" t="s">
        <v>627</v>
      </c>
      <c r="D29" s="825" t="s">
        <v>628</v>
      </c>
      <c r="E29" s="825" t="s">
        <v>618</v>
      </c>
      <c r="F29" s="840">
        <v>4300000</v>
      </c>
      <c r="G29" s="651" t="s">
        <v>614</v>
      </c>
      <c r="H29" s="712">
        <v>1500000</v>
      </c>
      <c r="I29" s="712">
        <v>149600</v>
      </c>
    </row>
    <row r="30" spans="1:9" ht="19.5" customHeight="1">
      <c r="A30" s="659"/>
      <c r="B30" s="824"/>
      <c r="C30" s="824"/>
      <c r="D30" s="824"/>
      <c r="E30" s="824"/>
      <c r="F30" s="824"/>
      <c r="G30" s="652" t="s">
        <v>615</v>
      </c>
      <c r="H30" s="714"/>
      <c r="I30" s="714">
        <v>2580000</v>
      </c>
    </row>
    <row r="31" spans="1:9" ht="13.5">
      <c r="A31" s="654"/>
      <c r="B31" s="654"/>
      <c r="C31" s="654"/>
      <c r="D31" s="654"/>
      <c r="E31" s="654"/>
      <c r="F31" s="655"/>
      <c r="G31" s="656"/>
      <c r="H31" s="716">
        <f>H29+H30</f>
        <v>1500000</v>
      </c>
      <c r="I31" s="716">
        <f>I29+I30</f>
        <v>2729600</v>
      </c>
    </row>
    <row r="32" spans="1:9" ht="13.5">
      <c r="A32" s="660" t="s">
        <v>629</v>
      </c>
      <c r="B32" s="845" t="s">
        <v>630</v>
      </c>
      <c r="C32" s="845"/>
      <c r="D32" s="845"/>
      <c r="E32" s="845"/>
      <c r="F32" s="845"/>
      <c r="G32" s="846"/>
      <c r="H32" s="846"/>
      <c r="I32" s="846"/>
    </row>
    <row r="33" spans="1:10" ht="12.75" customHeight="1">
      <c r="A33" s="842" t="s">
        <v>606</v>
      </c>
      <c r="B33" s="842" t="s">
        <v>607</v>
      </c>
      <c r="C33" s="843" t="s">
        <v>608</v>
      </c>
      <c r="D33" s="843" t="s">
        <v>609</v>
      </c>
      <c r="E33" s="843" t="s">
        <v>610</v>
      </c>
      <c r="F33" s="843" t="s">
        <v>611</v>
      </c>
      <c r="G33" s="866" t="s">
        <v>669</v>
      </c>
      <c r="H33" s="866"/>
      <c r="I33" s="866"/>
      <c r="J33" s="866"/>
    </row>
    <row r="34" spans="1:10" ht="13.5" customHeight="1">
      <c r="A34" s="822"/>
      <c r="B34" s="822"/>
      <c r="C34" s="822"/>
      <c r="D34" s="822"/>
      <c r="E34" s="822"/>
      <c r="F34" s="822"/>
      <c r="G34" s="843" t="s">
        <v>613</v>
      </c>
      <c r="H34" s="843">
        <v>2009</v>
      </c>
      <c r="I34" s="843">
        <v>2010</v>
      </c>
      <c r="J34" s="843">
        <v>2011</v>
      </c>
    </row>
    <row r="35" spans="1:10" ht="13.5" customHeight="1">
      <c r="A35" s="822"/>
      <c r="B35" s="822"/>
      <c r="C35" s="822"/>
      <c r="D35" s="822"/>
      <c r="E35" s="822"/>
      <c r="F35" s="822"/>
      <c r="G35" s="863"/>
      <c r="H35" s="863"/>
      <c r="I35" s="863"/>
      <c r="J35" s="863"/>
    </row>
    <row r="36" spans="1:10" ht="19.5" customHeight="1">
      <c r="A36" s="844">
        <v>1</v>
      </c>
      <c r="B36" s="737" t="s">
        <v>560</v>
      </c>
      <c r="C36" s="825" t="s">
        <v>631</v>
      </c>
      <c r="D36" s="825" t="s">
        <v>628</v>
      </c>
      <c r="E36" s="825" t="s">
        <v>632</v>
      </c>
      <c r="F36" s="840">
        <v>16051043</v>
      </c>
      <c r="G36" s="651" t="s">
        <v>614</v>
      </c>
      <c r="H36" s="720">
        <v>1989824</v>
      </c>
      <c r="I36" s="721">
        <v>5046693</v>
      </c>
      <c r="J36" s="722">
        <v>4030284</v>
      </c>
    </row>
    <row r="37" spans="1:10" ht="19.5" customHeight="1">
      <c r="A37" s="824"/>
      <c r="B37" s="824"/>
      <c r="C37" s="824"/>
      <c r="D37" s="824"/>
      <c r="E37" s="824"/>
      <c r="F37" s="824"/>
      <c r="G37" s="652" t="s">
        <v>615</v>
      </c>
      <c r="H37" s="723">
        <v>893978</v>
      </c>
      <c r="I37" s="714">
        <v>2267354</v>
      </c>
      <c r="J37" s="724">
        <v>1810710</v>
      </c>
    </row>
    <row r="38" spans="1:10" ht="13.5">
      <c r="A38" s="653"/>
      <c r="B38" s="654"/>
      <c r="C38" s="654"/>
      <c r="D38" s="654"/>
      <c r="E38" s="654"/>
      <c r="F38" s="655"/>
      <c r="G38" s="656"/>
      <c r="H38" s="716">
        <f>H36+H37</f>
        <v>2883802</v>
      </c>
      <c r="I38" s="716">
        <f>I36+I37</f>
        <v>7314047</v>
      </c>
      <c r="J38" s="716">
        <f>J36+J37</f>
        <v>5840994</v>
      </c>
    </row>
    <row r="39" spans="1:9" ht="13.5">
      <c r="A39" s="657" t="s">
        <v>633</v>
      </c>
      <c r="B39" s="819" t="s">
        <v>634</v>
      </c>
      <c r="C39" s="819"/>
      <c r="D39" s="819"/>
      <c r="E39" s="819"/>
      <c r="F39" s="819"/>
      <c r="G39" s="820"/>
      <c r="H39" s="820"/>
      <c r="I39" s="820"/>
    </row>
    <row r="40" spans="1:10" ht="12.75" customHeight="1">
      <c r="A40" s="842" t="s">
        <v>606</v>
      </c>
      <c r="B40" s="842" t="s">
        <v>607</v>
      </c>
      <c r="C40" s="843" t="s">
        <v>608</v>
      </c>
      <c r="D40" s="843" t="s">
        <v>609</v>
      </c>
      <c r="E40" s="843" t="s">
        <v>610</v>
      </c>
      <c r="F40" s="843" t="s">
        <v>611</v>
      </c>
      <c r="G40" s="866" t="s">
        <v>669</v>
      </c>
      <c r="H40" s="866"/>
      <c r="I40" s="866"/>
      <c r="J40" s="866"/>
    </row>
    <row r="41" spans="1:10" ht="13.5" customHeight="1">
      <c r="A41" s="822"/>
      <c r="B41" s="822"/>
      <c r="C41" s="822"/>
      <c r="D41" s="822"/>
      <c r="E41" s="822"/>
      <c r="F41" s="822"/>
      <c r="G41" s="843" t="s">
        <v>613</v>
      </c>
      <c r="H41" s="866">
        <v>2009</v>
      </c>
      <c r="I41" s="866">
        <v>2010</v>
      </c>
      <c r="J41" s="843">
        <v>2011</v>
      </c>
    </row>
    <row r="42" spans="1:10" ht="13.5" customHeight="1">
      <c r="A42" s="822"/>
      <c r="B42" s="822"/>
      <c r="C42" s="822"/>
      <c r="D42" s="822"/>
      <c r="E42" s="822"/>
      <c r="F42" s="822"/>
      <c r="G42" s="863"/>
      <c r="H42" s="866"/>
      <c r="I42" s="866"/>
      <c r="J42" s="863"/>
    </row>
    <row r="43" spans="1:10" ht="19.5" customHeight="1">
      <c r="A43" s="844">
        <v>1</v>
      </c>
      <c r="B43" s="737" t="s">
        <v>561</v>
      </c>
      <c r="C43" s="825" t="s">
        <v>635</v>
      </c>
      <c r="D43" s="825" t="s">
        <v>617</v>
      </c>
      <c r="E43" s="825" t="s">
        <v>632</v>
      </c>
      <c r="F43" s="841">
        <f>3400000+76300+18000</f>
        <v>3494300</v>
      </c>
      <c r="G43" s="651" t="s">
        <v>614</v>
      </c>
      <c r="H43" s="726">
        <v>18000</v>
      </c>
      <c r="I43" s="727">
        <v>200000</v>
      </c>
      <c r="J43" s="721">
        <v>229845</v>
      </c>
    </row>
    <row r="44" spans="1:10" ht="19.5" customHeight="1">
      <c r="A44" s="824"/>
      <c r="B44" s="824"/>
      <c r="C44" s="824"/>
      <c r="D44" s="824"/>
      <c r="E44" s="824"/>
      <c r="F44" s="824"/>
      <c r="G44" s="652" t="s">
        <v>615</v>
      </c>
      <c r="H44" s="719"/>
      <c r="I44" s="728">
        <v>1667445</v>
      </c>
      <c r="J44" s="714">
        <v>1302710</v>
      </c>
    </row>
    <row r="45" spans="1:10" ht="13.5">
      <c r="A45" s="653"/>
      <c r="B45" s="654"/>
      <c r="C45" s="654"/>
      <c r="D45" s="654"/>
      <c r="E45" s="654"/>
      <c r="F45" s="656"/>
      <c r="G45" s="656"/>
      <c r="H45" s="716">
        <f>H43+H44</f>
        <v>18000</v>
      </c>
      <c r="I45" s="716">
        <f>I43+I44</f>
        <v>1867445</v>
      </c>
      <c r="J45" s="716">
        <f>J43+J44</f>
        <v>1532555</v>
      </c>
    </row>
    <row r="46" spans="1:9" ht="13.5">
      <c r="A46" s="657" t="s">
        <v>636</v>
      </c>
      <c r="B46" s="819" t="s">
        <v>637</v>
      </c>
      <c r="C46" s="819"/>
      <c r="D46" s="819"/>
      <c r="E46" s="819"/>
      <c r="F46" s="819"/>
      <c r="G46" s="820"/>
      <c r="H46" s="820"/>
      <c r="I46" s="820"/>
    </row>
    <row r="47" spans="1:10" ht="12.75" customHeight="1">
      <c r="A47" s="842" t="s">
        <v>606</v>
      </c>
      <c r="B47" s="842" t="s">
        <v>607</v>
      </c>
      <c r="C47" s="843" t="s">
        <v>608</v>
      </c>
      <c r="D47" s="843" t="s">
        <v>609</v>
      </c>
      <c r="E47" s="843" t="s">
        <v>610</v>
      </c>
      <c r="F47" s="843" t="s">
        <v>611</v>
      </c>
      <c r="G47" s="867" t="s">
        <v>669</v>
      </c>
      <c r="H47" s="868"/>
      <c r="I47" s="868"/>
      <c r="J47" s="869"/>
    </row>
    <row r="48" spans="1:10" ht="13.5" customHeight="1">
      <c r="A48" s="822"/>
      <c r="B48" s="822"/>
      <c r="C48" s="822"/>
      <c r="D48" s="822"/>
      <c r="E48" s="822"/>
      <c r="F48" s="822"/>
      <c r="G48" s="843" t="s">
        <v>613</v>
      </c>
      <c r="H48" s="843">
        <v>2009</v>
      </c>
      <c r="I48" s="843">
        <v>2010</v>
      </c>
      <c r="J48" s="843">
        <v>2011</v>
      </c>
    </row>
    <row r="49" spans="1:10" ht="13.5" customHeight="1">
      <c r="A49" s="822"/>
      <c r="B49" s="822"/>
      <c r="C49" s="822"/>
      <c r="D49" s="822"/>
      <c r="E49" s="822"/>
      <c r="F49" s="822"/>
      <c r="G49" s="863"/>
      <c r="H49" s="863"/>
      <c r="I49" s="863"/>
      <c r="J49" s="863"/>
    </row>
    <row r="50" spans="1:10" ht="19.5" customHeight="1">
      <c r="A50" s="823">
        <v>1</v>
      </c>
      <c r="B50" s="737" t="s">
        <v>638</v>
      </c>
      <c r="C50" s="825" t="s">
        <v>639</v>
      </c>
      <c r="D50" s="826" t="s">
        <v>617</v>
      </c>
      <c r="E50" s="825" t="s">
        <v>632</v>
      </c>
      <c r="F50" s="840">
        <v>1200000</v>
      </c>
      <c r="G50" s="651" t="s">
        <v>614</v>
      </c>
      <c r="H50" s="729">
        <v>149000</v>
      </c>
      <c r="I50" s="712">
        <v>139000</v>
      </c>
      <c r="J50" s="721">
        <v>450000</v>
      </c>
    </row>
    <row r="51" spans="1:10" ht="19.5" customHeight="1">
      <c r="A51" s="824"/>
      <c r="B51" s="824"/>
      <c r="C51" s="824"/>
      <c r="D51" s="824"/>
      <c r="E51" s="824"/>
      <c r="F51" s="824"/>
      <c r="G51" s="652" t="s">
        <v>615</v>
      </c>
      <c r="H51" s="723">
        <v>300000</v>
      </c>
      <c r="I51" s="714">
        <v>161000</v>
      </c>
      <c r="J51" s="714">
        <v>0</v>
      </c>
    </row>
    <row r="52" spans="1:10" ht="13.5">
      <c r="A52" s="661"/>
      <c r="B52" s="320"/>
      <c r="C52" s="662"/>
      <c r="D52" s="662"/>
      <c r="E52" s="662"/>
      <c r="F52" s="663"/>
      <c r="G52" s="664"/>
      <c r="H52" s="730">
        <f>H50+H51</f>
        <v>449000</v>
      </c>
      <c r="I52" s="730">
        <f>I50+I51</f>
        <v>300000</v>
      </c>
      <c r="J52" s="730">
        <f>J50+J51</f>
        <v>450000</v>
      </c>
    </row>
    <row r="53" spans="1:9" ht="13.5">
      <c r="A53" s="657"/>
      <c r="B53" s="819"/>
      <c r="C53" s="819"/>
      <c r="D53" s="819"/>
      <c r="E53" s="819"/>
      <c r="F53" s="819"/>
      <c r="G53" s="820"/>
      <c r="H53" s="820"/>
      <c r="I53" s="820"/>
    </row>
    <row r="54" spans="1:10" ht="12.75" customHeight="1">
      <c r="A54" s="827" t="s">
        <v>606</v>
      </c>
      <c r="B54" s="830" t="s">
        <v>640</v>
      </c>
      <c r="C54" s="831"/>
      <c r="D54" s="831"/>
      <c r="E54" s="832"/>
      <c r="F54" s="821" t="s">
        <v>611</v>
      </c>
      <c r="G54" s="870" t="s">
        <v>669</v>
      </c>
      <c r="H54" s="870"/>
      <c r="I54" s="870"/>
      <c r="J54" s="870"/>
    </row>
    <row r="55" spans="1:10" ht="13.5" customHeight="1">
      <c r="A55" s="828"/>
      <c r="B55" s="833"/>
      <c r="C55" s="834"/>
      <c r="D55" s="834"/>
      <c r="E55" s="835"/>
      <c r="F55" s="822"/>
      <c r="G55" s="864" t="s">
        <v>613</v>
      </c>
      <c r="H55" s="821">
        <v>2009</v>
      </c>
      <c r="I55" s="821">
        <v>2010</v>
      </c>
      <c r="J55" s="821">
        <v>2011</v>
      </c>
    </row>
    <row r="56" spans="1:10" ht="13.5" customHeight="1">
      <c r="A56" s="828"/>
      <c r="B56" s="833"/>
      <c r="C56" s="834"/>
      <c r="D56" s="834"/>
      <c r="E56" s="835"/>
      <c r="F56" s="822"/>
      <c r="G56" s="865"/>
      <c r="H56" s="871"/>
      <c r="I56" s="871"/>
      <c r="J56" s="871"/>
    </row>
    <row r="57" spans="1:10" ht="15.75">
      <c r="A57" s="828"/>
      <c r="B57" s="833"/>
      <c r="C57" s="834"/>
      <c r="D57" s="834"/>
      <c r="E57" s="835"/>
      <c r="F57" s="839">
        <f>F8+F15+F22+F29+F36+F43+F50</f>
        <v>33145343</v>
      </c>
      <c r="G57" s="667" t="s">
        <v>614</v>
      </c>
      <c r="H57" s="731">
        <f aca="true" t="shared" si="0" ref="H57:J58">H50+H43+H36+H29+H22+H15+H8</f>
        <v>4045624</v>
      </c>
      <c r="I57" s="732">
        <f t="shared" si="0"/>
        <v>6128293</v>
      </c>
      <c r="J57" s="732">
        <f t="shared" si="0"/>
        <v>4710129</v>
      </c>
    </row>
    <row r="58" spans="1:10" ht="13.5">
      <c r="A58" s="829"/>
      <c r="B58" s="836"/>
      <c r="C58" s="837"/>
      <c r="D58" s="837"/>
      <c r="E58" s="838"/>
      <c r="F58" s="824"/>
      <c r="G58" s="668" t="s">
        <v>615</v>
      </c>
      <c r="H58" s="733">
        <f t="shared" si="0"/>
        <v>1193978</v>
      </c>
      <c r="I58" s="734">
        <f t="shared" si="0"/>
        <v>13256099</v>
      </c>
      <c r="J58" s="734">
        <f t="shared" si="0"/>
        <v>3113420</v>
      </c>
    </row>
    <row r="59" spans="1:10" ht="13.5">
      <c r="A59" s="661"/>
      <c r="B59" s="320"/>
      <c r="C59" s="662"/>
      <c r="D59" s="662"/>
      <c r="E59" s="662"/>
      <c r="F59" s="663"/>
      <c r="G59" s="664"/>
      <c r="H59" s="730">
        <f>H57+H58</f>
        <v>5239602</v>
      </c>
      <c r="I59" s="730">
        <f>I57+I58</f>
        <v>19384392</v>
      </c>
      <c r="J59" s="730">
        <f>J57+J58</f>
        <v>7823549</v>
      </c>
    </row>
    <row r="60" spans="1:9" ht="13.5">
      <c r="A60" s="661"/>
      <c r="B60" s="320"/>
      <c r="C60" s="662"/>
      <c r="D60" s="662"/>
      <c r="E60" s="662"/>
      <c r="F60" s="663"/>
      <c r="G60" s="663"/>
      <c r="H60" s="735"/>
      <c r="I60" s="735"/>
    </row>
    <row r="61" spans="1:9" ht="13.5">
      <c r="A61" s="661"/>
      <c r="B61" s="320"/>
      <c r="C61" s="662"/>
      <c r="D61" s="662"/>
      <c r="E61" s="662"/>
      <c r="F61" s="663"/>
      <c r="G61" s="663"/>
      <c r="H61" s="735"/>
      <c r="I61" s="735"/>
    </row>
    <row r="62" spans="1:9" ht="13.5">
      <c r="A62" s="661"/>
      <c r="B62" s="320"/>
      <c r="C62" s="662"/>
      <c r="D62" s="662"/>
      <c r="E62" s="662"/>
      <c r="F62" s="663"/>
      <c r="G62" s="663"/>
      <c r="H62" s="735"/>
      <c r="I62" s="735"/>
    </row>
    <row r="63" spans="1:9" ht="13.5">
      <c r="A63" s="661"/>
      <c r="B63" s="320"/>
      <c r="C63" s="662"/>
      <c r="D63" s="662"/>
      <c r="E63" s="662"/>
      <c r="F63" s="663"/>
      <c r="G63" s="663"/>
      <c r="H63" s="735"/>
      <c r="I63" s="735"/>
    </row>
    <row r="64" spans="1:9" ht="13.5">
      <c r="A64" s="661"/>
      <c r="B64" s="320"/>
      <c r="C64" s="662"/>
      <c r="D64" s="662"/>
      <c r="E64" s="662"/>
      <c r="F64" s="663"/>
      <c r="G64" s="663"/>
      <c r="H64" s="735"/>
      <c r="I64" s="735"/>
    </row>
    <row r="65" spans="1:9" ht="13.5">
      <c r="A65" s="661"/>
      <c r="B65" s="320"/>
      <c r="C65" s="662"/>
      <c r="D65" s="662"/>
      <c r="E65" s="662"/>
      <c r="F65" s="663"/>
      <c r="G65" s="663"/>
      <c r="H65" s="735"/>
      <c r="I65" s="735"/>
    </row>
    <row r="66" spans="1:9" ht="13.5">
      <c r="A66" s="661"/>
      <c r="B66" s="320"/>
      <c r="C66" s="662"/>
      <c r="D66" s="662"/>
      <c r="E66" s="662"/>
      <c r="F66" s="663"/>
      <c r="G66" s="663"/>
      <c r="H66" s="735"/>
      <c r="I66" s="735"/>
    </row>
    <row r="67" spans="1:9" ht="13.5">
      <c r="A67" s="661"/>
      <c r="B67" s="320"/>
      <c r="C67" s="662"/>
      <c r="D67" s="662"/>
      <c r="E67" s="662"/>
      <c r="F67" s="663"/>
      <c r="G67" s="663"/>
      <c r="H67" s="735"/>
      <c r="I67" s="735"/>
    </row>
    <row r="68" spans="1:9" ht="13.5">
      <c r="A68" s="661"/>
      <c r="B68" s="320"/>
      <c r="C68" s="662"/>
      <c r="D68" s="662"/>
      <c r="E68" s="662"/>
      <c r="F68" s="663"/>
      <c r="G68" s="663"/>
      <c r="H68" s="735"/>
      <c r="I68" s="735"/>
    </row>
    <row r="69" spans="1:9" ht="13.5">
      <c r="A69" s="661"/>
      <c r="B69" s="320"/>
      <c r="C69" s="662"/>
      <c r="D69" s="662"/>
      <c r="E69" s="662"/>
      <c r="F69" s="663"/>
      <c r="G69" s="663"/>
      <c r="H69" s="735"/>
      <c r="I69" s="735"/>
    </row>
    <row r="70" spans="1:9" ht="13.5">
      <c r="A70" s="661"/>
      <c r="B70" s="320"/>
      <c r="C70" s="662"/>
      <c r="D70" s="662"/>
      <c r="E70" s="662"/>
      <c r="F70" s="663"/>
      <c r="G70" s="663"/>
      <c r="H70" s="735"/>
      <c r="I70" s="735"/>
    </row>
    <row r="71" spans="1:9" ht="13.5">
      <c r="A71" s="661"/>
      <c r="B71" s="320"/>
      <c r="C71" s="662"/>
      <c r="D71" s="662"/>
      <c r="E71" s="662"/>
      <c r="F71" s="663"/>
      <c r="G71" s="663"/>
      <c r="H71" s="735"/>
      <c r="I71" s="735"/>
    </row>
    <row r="72" spans="1:9" ht="13.5">
      <c r="A72" s="661"/>
      <c r="B72" s="320"/>
      <c r="C72" s="662"/>
      <c r="D72" s="662"/>
      <c r="E72" s="662"/>
      <c r="F72" s="663"/>
      <c r="G72" s="663"/>
      <c r="H72" s="735"/>
      <c r="I72" s="735"/>
    </row>
    <row r="73" spans="1:9" ht="13.5">
      <c r="A73" s="661"/>
      <c r="B73" s="320"/>
      <c r="C73" s="662"/>
      <c r="D73" s="662"/>
      <c r="E73" s="662"/>
      <c r="F73" s="663"/>
      <c r="G73" s="663"/>
      <c r="H73" s="735"/>
      <c r="I73" s="735"/>
    </row>
    <row r="74" spans="1:9" ht="13.5">
      <c r="A74" s="661"/>
      <c r="B74" s="320"/>
      <c r="C74" s="662"/>
      <c r="D74" s="662"/>
      <c r="E74" s="662"/>
      <c r="F74" s="663"/>
      <c r="G74" s="663"/>
      <c r="H74" s="735"/>
      <c r="I74" s="735"/>
    </row>
    <row r="75" spans="1:9" ht="13.5">
      <c r="A75" s="661"/>
      <c r="B75" s="320"/>
      <c r="C75" s="662"/>
      <c r="D75" s="662"/>
      <c r="E75" s="662"/>
      <c r="F75" s="663"/>
      <c r="G75" s="663"/>
      <c r="H75" s="735"/>
      <c r="I75" s="735"/>
    </row>
    <row r="76" spans="1:9" ht="13.5">
      <c r="A76" s="661"/>
      <c r="B76" s="320"/>
      <c r="C76" s="662"/>
      <c r="D76" s="662"/>
      <c r="E76" s="662"/>
      <c r="F76" s="663"/>
      <c r="G76" s="663"/>
      <c r="H76" s="735"/>
      <c r="I76" s="735"/>
    </row>
    <row r="77" spans="1:9" ht="13.5">
      <c r="A77" s="661"/>
      <c r="B77" s="320"/>
      <c r="C77" s="662"/>
      <c r="D77" s="662"/>
      <c r="E77" s="662"/>
      <c r="F77" s="663"/>
      <c r="G77" s="663"/>
      <c r="H77" s="735"/>
      <c r="I77" s="735"/>
    </row>
    <row r="78" spans="1:9" ht="13.5">
      <c r="A78" s="661"/>
      <c r="B78" s="320"/>
      <c r="C78" s="662"/>
      <c r="D78" s="662"/>
      <c r="E78" s="662"/>
      <c r="F78" s="663"/>
      <c r="G78" s="663"/>
      <c r="H78" s="735"/>
      <c r="I78" s="735"/>
    </row>
    <row r="79" spans="1:9" ht="13.5">
      <c r="A79" s="661"/>
      <c r="B79" s="320"/>
      <c r="C79" s="662"/>
      <c r="D79" s="662"/>
      <c r="E79" s="662"/>
      <c r="F79" s="663"/>
      <c r="G79" s="663"/>
      <c r="H79" s="735"/>
      <c r="I79" s="735"/>
    </row>
    <row r="80" spans="1:9" ht="13.5">
      <c r="A80" s="661"/>
      <c r="B80" s="320"/>
      <c r="C80" s="662"/>
      <c r="D80" s="662"/>
      <c r="E80" s="662"/>
      <c r="F80" s="663"/>
      <c r="G80" s="663"/>
      <c r="H80" s="735"/>
      <c r="I80" s="735"/>
    </row>
    <row r="81" spans="1:9" ht="13.5">
      <c r="A81" s="661"/>
      <c r="B81" s="320"/>
      <c r="C81" s="662"/>
      <c r="D81" s="662"/>
      <c r="E81" s="662"/>
      <c r="F81" s="663"/>
      <c r="G81" s="663"/>
      <c r="H81" s="735"/>
      <c r="I81" s="735"/>
    </row>
    <row r="82" spans="1:9" ht="13.5">
      <c r="A82" s="661"/>
      <c r="B82" s="320"/>
      <c r="C82" s="662"/>
      <c r="D82" s="662"/>
      <c r="E82" s="662"/>
      <c r="F82" s="663"/>
      <c r="G82" s="663"/>
      <c r="H82" s="735"/>
      <c r="I82" s="735"/>
    </row>
    <row r="83" spans="1:9" ht="13.5">
      <c r="A83" s="661"/>
      <c r="B83" s="320"/>
      <c r="C83" s="662"/>
      <c r="D83" s="662"/>
      <c r="E83" s="662"/>
      <c r="F83" s="663"/>
      <c r="G83" s="663"/>
      <c r="H83" s="735"/>
      <c r="I83" s="735"/>
    </row>
    <row r="84" spans="1:9" ht="13.5">
      <c r="A84" s="661"/>
      <c r="B84" s="320"/>
      <c r="C84" s="662"/>
      <c r="D84" s="662"/>
      <c r="E84" s="662"/>
      <c r="F84" s="663"/>
      <c r="G84" s="663"/>
      <c r="H84" s="735"/>
      <c r="I84" s="735"/>
    </row>
    <row r="85" spans="1:9" ht="13.5">
      <c r="A85" s="661"/>
      <c r="B85" s="320"/>
      <c r="C85" s="662"/>
      <c r="D85" s="662"/>
      <c r="E85" s="662"/>
      <c r="F85" s="663"/>
      <c r="G85" s="663"/>
      <c r="H85" s="735"/>
      <c r="I85" s="735"/>
    </row>
    <row r="86" spans="1:9" ht="13.5">
      <c r="A86" s="661"/>
      <c r="B86" s="320"/>
      <c r="C86" s="662"/>
      <c r="D86" s="662"/>
      <c r="E86" s="662"/>
      <c r="F86" s="663"/>
      <c r="G86" s="663"/>
      <c r="H86" s="735"/>
      <c r="I86" s="735"/>
    </row>
    <row r="87" spans="1:9" ht="13.5">
      <c r="A87" s="661"/>
      <c r="B87" s="320"/>
      <c r="C87" s="662"/>
      <c r="D87" s="662"/>
      <c r="E87" s="662"/>
      <c r="F87" s="663"/>
      <c r="G87" s="663"/>
      <c r="H87" s="735"/>
      <c r="I87" s="735"/>
    </row>
    <row r="88" spans="1:9" ht="13.5">
      <c r="A88" s="661"/>
      <c r="B88" s="320"/>
      <c r="C88" s="662"/>
      <c r="D88" s="662"/>
      <c r="E88" s="662"/>
      <c r="F88" s="663"/>
      <c r="G88" s="663"/>
      <c r="H88" s="735"/>
      <c r="I88" s="735"/>
    </row>
    <row r="89" spans="1:9" ht="13.5">
      <c r="A89" s="661"/>
      <c r="B89" s="320"/>
      <c r="C89" s="662"/>
      <c r="D89" s="662"/>
      <c r="E89" s="662"/>
      <c r="F89" s="663"/>
      <c r="G89" s="663"/>
      <c r="H89" s="735"/>
      <c r="I89" s="735"/>
    </row>
    <row r="90" spans="1:9" ht="13.5">
      <c r="A90" s="661"/>
      <c r="B90" s="320"/>
      <c r="C90" s="662"/>
      <c r="D90" s="662"/>
      <c r="E90" s="662"/>
      <c r="F90" s="663"/>
      <c r="G90" s="663"/>
      <c r="H90" s="735"/>
      <c r="I90" s="735"/>
    </row>
    <row r="91" spans="1:9" ht="13.5">
      <c r="A91" s="661"/>
      <c r="B91" s="320"/>
      <c r="C91" s="662"/>
      <c r="D91" s="662"/>
      <c r="E91" s="662"/>
      <c r="F91" s="663"/>
      <c r="G91" s="663"/>
      <c r="H91" s="735"/>
      <c r="I91" s="735"/>
    </row>
    <row r="92" spans="1:9" ht="13.5">
      <c r="A92" s="661"/>
      <c r="B92" s="320"/>
      <c r="C92" s="662"/>
      <c r="D92" s="662"/>
      <c r="E92" s="662"/>
      <c r="F92" s="663"/>
      <c r="G92" s="663"/>
      <c r="H92" s="735"/>
      <c r="I92" s="735"/>
    </row>
    <row r="93" spans="1:9" ht="13.5">
      <c r="A93" s="661"/>
      <c r="B93" s="320"/>
      <c r="C93" s="662"/>
      <c r="D93" s="662"/>
      <c r="E93" s="662"/>
      <c r="F93" s="663"/>
      <c r="G93" s="663"/>
      <c r="H93" s="735"/>
      <c r="I93" s="735"/>
    </row>
    <row r="94" spans="1:9" ht="13.5">
      <c r="A94" s="661"/>
      <c r="B94" s="320"/>
      <c r="C94" s="662"/>
      <c r="D94" s="662"/>
      <c r="E94" s="662"/>
      <c r="F94" s="663"/>
      <c r="G94" s="663"/>
      <c r="H94" s="735"/>
      <c r="I94" s="735"/>
    </row>
    <row r="95" spans="1:9" ht="13.5">
      <c r="A95" s="661"/>
      <c r="B95" s="320"/>
      <c r="C95" s="662"/>
      <c r="D95" s="662"/>
      <c r="E95" s="662"/>
      <c r="F95" s="663"/>
      <c r="G95" s="663"/>
      <c r="H95" s="735"/>
      <c r="I95" s="735"/>
    </row>
    <row r="96" spans="1:9" ht="13.5">
      <c r="A96" s="661"/>
      <c r="B96" s="320"/>
      <c r="C96" s="662"/>
      <c r="D96" s="662"/>
      <c r="E96" s="662"/>
      <c r="F96" s="663"/>
      <c r="G96" s="663"/>
      <c r="H96" s="735"/>
      <c r="I96" s="735"/>
    </row>
    <row r="97" spans="1:9" ht="13.5">
      <c r="A97" s="661"/>
      <c r="B97" s="320"/>
      <c r="C97" s="662"/>
      <c r="D97" s="662"/>
      <c r="E97" s="662"/>
      <c r="F97" s="663"/>
      <c r="G97" s="663"/>
      <c r="H97" s="735"/>
      <c r="I97" s="735"/>
    </row>
    <row r="98" spans="1:9" ht="13.5">
      <c r="A98" s="661"/>
      <c r="B98" s="320"/>
      <c r="C98" s="662"/>
      <c r="D98" s="662"/>
      <c r="E98" s="662"/>
      <c r="F98" s="663"/>
      <c r="G98" s="663"/>
      <c r="H98" s="735"/>
      <c r="I98" s="735"/>
    </row>
    <row r="99" spans="1:9" ht="13.5">
      <c r="A99" s="661"/>
      <c r="B99" s="320"/>
      <c r="C99" s="662"/>
      <c r="D99" s="662"/>
      <c r="E99" s="662"/>
      <c r="F99" s="663"/>
      <c r="G99" s="663"/>
      <c r="H99" s="735"/>
      <c r="I99" s="735"/>
    </row>
    <row r="100" spans="1:9" ht="13.5">
      <c r="A100" s="661"/>
      <c r="B100" s="320"/>
      <c r="C100" s="662"/>
      <c r="D100" s="662"/>
      <c r="E100" s="662"/>
      <c r="F100" s="663"/>
      <c r="G100" s="663"/>
      <c r="H100" s="735"/>
      <c r="I100" s="735"/>
    </row>
    <row r="101" spans="1:9" ht="13.5">
      <c r="A101" s="661"/>
      <c r="B101" s="320"/>
      <c r="C101" s="662"/>
      <c r="D101" s="662"/>
      <c r="E101" s="662"/>
      <c r="F101" s="663"/>
      <c r="G101" s="663"/>
      <c r="H101" s="735"/>
      <c r="I101" s="735"/>
    </row>
    <row r="102" spans="1:9" ht="13.5">
      <c r="A102" s="661"/>
      <c r="B102" s="320"/>
      <c r="C102" s="662"/>
      <c r="D102" s="662"/>
      <c r="E102" s="662"/>
      <c r="F102" s="663"/>
      <c r="G102" s="663"/>
      <c r="H102" s="735"/>
      <c r="I102" s="735"/>
    </row>
    <row r="103" spans="1:9" ht="13.5">
      <c r="A103" s="661"/>
      <c r="B103" s="320"/>
      <c r="C103" s="662"/>
      <c r="D103" s="662"/>
      <c r="E103" s="662"/>
      <c r="F103" s="663"/>
      <c r="G103" s="663"/>
      <c r="H103" s="735"/>
      <c r="I103" s="735"/>
    </row>
    <row r="104" spans="1:9" ht="13.5">
      <c r="A104" s="661"/>
      <c r="B104" s="320"/>
      <c r="C104" s="662"/>
      <c r="D104" s="662"/>
      <c r="E104" s="662"/>
      <c r="F104" s="663"/>
      <c r="G104" s="663"/>
      <c r="H104" s="735"/>
      <c r="I104" s="735"/>
    </row>
    <row r="105" spans="1:9" ht="13.5">
      <c r="A105" s="661"/>
      <c r="B105" s="320"/>
      <c r="C105" s="662"/>
      <c r="D105" s="662"/>
      <c r="E105" s="662"/>
      <c r="F105" s="663"/>
      <c r="G105" s="663"/>
      <c r="H105" s="735"/>
      <c r="I105" s="735"/>
    </row>
    <row r="106" spans="1:9" ht="13.5">
      <c r="A106" s="661"/>
      <c r="B106" s="320"/>
      <c r="C106" s="662"/>
      <c r="D106" s="662"/>
      <c r="E106" s="662"/>
      <c r="F106" s="663"/>
      <c r="G106" s="663"/>
      <c r="H106" s="735"/>
      <c r="I106" s="735"/>
    </row>
    <row r="107" spans="1:9" ht="13.5">
      <c r="A107" s="661"/>
      <c r="B107" s="320"/>
      <c r="C107" s="662"/>
      <c r="D107" s="662"/>
      <c r="E107" s="662"/>
      <c r="F107" s="663"/>
      <c r="G107" s="663"/>
      <c r="H107" s="735"/>
      <c r="I107" s="735"/>
    </row>
    <row r="108" spans="1:9" ht="13.5">
      <c r="A108" s="661"/>
      <c r="B108" s="320"/>
      <c r="C108" s="662"/>
      <c r="D108" s="662"/>
      <c r="E108" s="662"/>
      <c r="F108" s="663"/>
      <c r="G108" s="663"/>
      <c r="H108" s="735"/>
      <c r="I108" s="735"/>
    </row>
    <row r="109" spans="1:9" ht="13.5">
      <c r="A109" s="661"/>
      <c r="B109" s="320"/>
      <c r="C109" s="662"/>
      <c r="D109" s="662"/>
      <c r="E109" s="662"/>
      <c r="F109" s="663"/>
      <c r="G109" s="663"/>
      <c r="H109" s="735"/>
      <c r="I109" s="735"/>
    </row>
    <row r="110" spans="1:9" ht="13.5">
      <c r="A110" s="661"/>
      <c r="B110" s="320"/>
      <c r="C110" s="662"/>
      <c r="D110" s="662"/>
      <c r="E110" s="662"/>
      <c r="F110" s="663"/>
      <c r="G110" s="663"/>
      <c r="H110" s="735"/>
      <c r="I110" s="735"/>
    </row>
    <row r="111" spans="1:9" ht="13.5">
      <c r="A111" s="661"/>
      <c r="B111" s="320"/>
      <c r="C111" s="662"/>
      <c r="D111" s="662"/>
      <c r="E111" s="662"/>
      <c r="F111" s="663"/>
      <c r="G111" s="663"/>
      <c r="H111" s="735"/>
      <c r="I111" s="735"/>
    </row>
    <row r="112" spans="1:9" ht="13.5">
      <c r="A112" s="661"/>
      <c r="B112" s="320"/>
      <c r="C112" s="662"/>
      <c r="D112" s="662"/>
      <c r="E112" s="662"/>
      <c r="F112" s="663"/>
      <c r="G112" s="663"/>
      <c r="H112" s="735"/>
      <c r="I112" s="735"/>
    </row>
    <row r="113" spans="1:9" ht="13.5">
      <c r="A113" s="661"/>
      <c r="B113" s="320"/>
      <c r="C113" s="662"/>
      <c r="D113" s="662"/>
      <c r="E113" s="662"/>
      <c r="F113" s="663"/>
      <c r="G113" s="663"/>
      <c r="H113" s="735"/>
      <c r="I113" s="735"/>
    </row>
    <row r="114" spans="1:9" ht="13.5">
      <c r="A114" s="661"/>
      <c r="B114" s="320"/>
      <c r="C114" s="662"/>
      <c r="D114" s="662"/>
      <c r="E114" s="662"/>
      <c r="F114" s="663"/>
      <c r="G114" s="663"/>
      <c r="H114" s="735"/>
      <c r="I114" s="735"/>
    </row>
    <row r="115" spans="1:9" ht="13.5">
      <c r="A115" s="661"/>
      <c r="B115" s="320"/>
      <c r="C115" s="662"/>
      <c r="D115" s="662"/>
      <c r="E115" s="662"/>
      <c r="F115" s="663"/>
      <c r="G115" s="663"/>
      <c r="H115" s="735"/>
      <c r="I115" s="735"/>
    </row>
    <row r="116" spans="1:9" ht="13.5">
      <c r="A116" s="661"/>
      <c r="B116" s="320"/>
      <c r="C116" s="662"/>
      <c r="D116" s="662"/>
      <c r="E116" s="662"/>
      <c r="F116" s="663"/>
      <c r="G116" s="663"/>
      <c r="H116" s="735"/>
      <c r="I116" s="735"/>
    </row>
    <row r="117" spans="1:9" ht="13.5">
      <c r="A117" s="661"/>
      <c r="B117" s="320"/>
      <c r="C117" s="662"/>
      <c r="D117" s="662"/>
      <c r="E117" s="662"/>
      <c r="F117" s="663"/>
      <c r="G117" s="663"/>
      <c r="H117" s="735"/>
      <c r="I117" s="735"/>
    </row>
    <row r="118" spans="1:9" ht="13.5">
      <c r="A118" s="661"/>
      <c r="B118" s="320"/>
      <c r="C118" s="662"/>
      <c r="D118" s="662"/>
      <c r="E118" s="662"/>
      <c r="F118" s="663"/>
      <c r="G118" s="663"/>
      <c r="H118" s="735"/>
      <c r="I118" s="735"/>
    </row>
    <row r="119" spans="1:9" ht="13.5">
      <c r="A119" s="661"/>
      <c r="B119" s="320"/>
      <c r="C119" s="662"/>
      <c r="D119" s="662"/>
      <c r="E119" s="662"/>
      <c r="F119" s="663"/>
      <c r="G119" s="663"/>
      <c r="H119" s="735"/>
      <c r="I119" s="735"/>
    </row>
    <row r="120" spans="1:9" ht="13.5">
      <c r="A120" s="661"/>
      <c r="B120" s="320"/>
      <c r="C120" s="662"/>
      <c r="D120" s="662"/>
      <c r="E120" s="662"/>
      <c r="F120" s="663"/>
      <c r="G120" s="663"/>
      <c r="H120" s="735"/>
      <c r="I120" s="735"/>
    </row>
    <row r="121" spans="1:9" ht="13.5">
      <c r="A121" s="661"/>
      <c r="B121" s="320"/>
      <c r="C121" s="662"/>
      <c r="D121" s="662"/>
      <c r="E121" s="662"/>
      <c r="F121" s="663"/>
      <c r="G121" s="663"/>
      <c r="H121" s="735"/>
      <c r="I121" s="735"/>
    </row>
    <row r="122" spans="1:9" ht="13.5">
      <c r="A122" s="661"/>
      <c r="B122" s="320"/>
      <c r="C122" s="662"/>
      <c r="D122" s="662"/>
      <c r="E122" s="662"/>
      <c r="F122" s="663"/>
      <c r="G122" s="663"/>
      <c r="H122" s="735"/>
      <c r="I122" s="735"/>
    </row>
    <row r="123" spans="1:9" ht="13.5">
      <c r="A123" s="661"/>
      <c r="B123" s="320"/>
      <c r="C123" s="662"/>
      <c r="D123" s="662"/>
      <c r="E123" s="662"/>
      <c r="F123" s="663"/>
      <c r="G123" s="663"/>
      <c r="H123" s="735"/>
      <c r="I123" s="735"/>
    </row>
    <row r="124" spans="1:9" ht="13.5">
      <c r="A124" s="661"/>
      <c r="B124" s="320"/>
      <c r="C124" s="662"/>
      <c r="D124" s="662"/>
      <c r="E124" s="662"/>
      <c r="F124" s="663"/>
      <c r="G124" s="663"/>
      <c r="H124" s="735"/>
      <c r="I124" s="735"/>
    </row>
    <row r="125" spans="1:9" ht="13.5">
      <c r="A125" s="661"/>
      <c r="B125" s="320"/>
      <c r="C125" s="662"/>
      <c r="D125" s="662"/>
      <c r="E125" s="662"/>
      <c r="F125" s="663"/>
      <c r="G125" s="663"/>
      <c r="H125" s="735"/>
      <c r="I125" s="735"/>
    </row>
    <row r="126" spans="1:9" ht="13.5">
      <c r="A126" s="661"/>
      <c r="B126" s="320"/>
      <c r="C126" s="662"/>
      <c r="D126" s="662"/>
      <c r="E126" s="662"/>
      <c r="F126" s="663"/>
      <c r="G126" s="663"/>
      <c r="H126" s="735"/>
      <c r="I126" s="735"/>
    </row>
    <row r="127" spans="1:9" ht="13.5">
      <c r="A127" s="661"/>
      <c r="B127" s="320"/>
      <c r="C127" s="662"/>
      <c r="D127" s="662"/>
      <c r="E127" s="662"/>
      <c r="F127" s="663"/>
      <c r="G127" s="663"/>
      <c r="H127" s="735"/>
      <c r="I127" s="735"/>
    </row>
    <row r="128" spans="1:9" ht="13.5">
      <c r="A128" s="661"/>
      <c r="B128" s="320"/>
      <c r="C128" s="662"/>
      <c r="D128" s="662"/>
      <c r="E128" s="662"/>
      <c r="F128" s="663"/>
      <c r="G128" s="663"/>
      <c r="H128" s="735"/>
      <c r="I128" s="735"/>
    </row>
    <row r="129" spans="1:9" ht="13.5">
      <c r="A129" s="661"/>
      <c r="B129" s="320"/>
      <c r="C129" s="662"/>
      <c r="D129" s="662"/>
      <c r="E129" s="662"/>
      <c r="F129" s="663"/>
      <c r="G129" s="663"/>
      <c r="H129" s="735"/>
      <c r="I129" s="735"/>
    </row>
    <row r="130" spans="1:9" ht="13.5">
      <c r="A130" s="661"/>
      <c r="B130" s="320"/>
      <c r="C130" s="662"/>
      <c r="D130" s="662"/>
      <c r="E130" s="662"/>
      <c r="F130" s="663"/>
      <c r="G130" s="663"/>
      <c r="H130" s="735"/>
      <c r="I130" s="735"/>
    </row>
    <row r="131" spans="1:9" ht="13.5">
      <c r="A131" s="661"/>
      <c r="B131" s="320"/>
      <c r="C131" s="662"/>
      <c r="D131" s="662"/>
      <c r="E131" s="662"/>
      <c r="F131" s="663"/>
      <c r="G131" s="663"/>
      <c r="H131" s="735"/>
      <c r="I131" s="735"/>
    </row>
    <row r="132" spans="1:9" ht="13.5">
      <c r="A132" s="661"/>
      <c r="B132" s="320"/>
      <c r="C132" s="662"/>
      <c r="D132" s="662"/>
      <c r="E132" s="662"/>
      <c r="F132" s="663"/>
      <c r="G132" s="663"/>
      <c r="H132" s="735"/>
      <c r="I132" s="735"/>
    </row>
    <row r="133" spans="1:9" ht="13.5">
      <c r="A133" s="661"/>
      <c r="B133" s="320"/>
      <c r="C133" s="662"/>
      <c r="D133" s="662"/>
      <c r="E133" s="662"/>
      <c r="F133" s="663"/>
      <c r="G133" s="663"/>
      <c r="H133" s="735"/>
      <c r="I133" s="735"/>
    </row>
    <row r="134" spans="1:9" ht="13.5">
      <c r="A134" s="661"/>
      <c r="B134" s="320"/>
      <c r="C134" s="662"/>
      <c r="D134" s="662"/>
      <c r="E134" s="662"/>
      <c r="F134" s="663"/>
      <c r="G134" s="663"/>
      <c r="H134" s="735"/>
      <c r="I134" s="735"/>
    </row>
    <row r="135" spans="1:9" ht="13.5">
      <c r="A135" s="661"/>
      <c r="B135" s="320"/>
      <c r="C135" s="662"/>
      <c r="D135" s="662"/>
      <c r="E135" s="662"/>
      <c r="F135" s="663"/>
      <c r="G135" s="663"/>
      <c r="H135" s="735"/>
      <c r="I135" s="735"/>
    </row>
    <row r="136" spans="1:9" ht="13.5">
      <c r="A136" s="661"/>
      <c r="B136" s="320"/>
      <c r="C136" s="662"/>
      <c r="D136" s="662"/>
      <c r="E136" s="662"/>
      <c r="F136" s="663"/>
      <c r="G136" s="663"/>
      <c r="H136" s="735"/>
      <c r="I136" s="735"/>
    </row>
    <row r="137" spans="1:9" ht="13.5">
      <c r="A137" s="661"/>
      <c r="B137" s="320"/>
      <c r="C137" s="662"/>
      <c r="D137" s="662"/>
      <c r="E137" s="662"/>
      <c r="F137" s="663"/>
      <c r="G137" s="663"/>
      <c r="H137" s="735"/>
      <c r="I137" s="735"/>
    </row>
    <row r="138" spans="1:9" ht="13.5">
      <c r="A138" s="661"/>
      <c r="B138" s="320"/>
      <c r="C138" s="662"/>
      <c r="D138" s="662"/>
      <c r="E138" s="662"/>
      <c r="F138" s="663"/>
      <c r="G138" s="663"/>
      <c r="H138" s="735"/>
      <c r="I138" s="735"/>
    </row>
    <row r="139" spans="1:9" ht="13.5">
      <c r="A139" s="661"/>
      <c r="B139" s="320"/>
      <c r="C139" s="662"/>
      <c r="D139" s="662"/>
      <c r="E139" s="662"/>
      <c r="F139" s="663"/>
      <c r="G139" s="663"/>
      <c r="H139" s="735"/>
      <c r="I139" s="735"/>
    </row>
    <row r="140" spans="1:9" ht="13.5">
      <c r="A140" s="661"/>
      <c r="B140" s="320"/>
      <c r="C140" s="662"/>
      <c r="D140" s="662"/>
      <c r="E140" s="662"/>
      <c r="F140" s="663"/>
      <c r="G140" s="663"/>
      <c r="H140" s="735"/>
      <c r="I140" s="735"/>
    </row>
    <row r="141" spans="1:9" ht="13.5">
      <c r="A141" s="661"/>
      <c r="B141" s="320"/>
      <c r="C141" s="662"/>
      <c r="D141" s="662"/>
      <c r="E141" s="662"/>
      <c r="F141" s="663"/>
      <c r="G141" s="663"/>
      <c r="H141" s="735"/>
      <c r="I141" s="735"/>
    </row>
    <row r="142" spans="1:9" ht="13.5">
      <c r="A142" s="661"/>
      <c r="B142" s="320"/>
      <c r="C142" s="662"/>
      <c r="D142" s="662"/>
      <c r="E142" s="662"/>
      <c r="F142" s="663"/>
      <c r="G142" s="663"/>
      <c r="H142" s="735"/>
      <c r="I142" s="735"/>
    </row>
    <row r="143" spans="1:9" ht="13.5">
      <c r="A143" s="661"/>
      <c r="B143" s="320"/>
      <c r="C143" s="662"/>
      <c r="D143" s="662"/>
      <c r="E143" s="662"/>
      <c r="F143" s="663"/>
      <c r="G143" s="663"/>
      <c r="H143" s="735"/>
      <c r="I143" s="735"/>
    </row>
    <row r="144" spans="1:9" ht="13.5">
      <c r="A144" s="661"/>
      <c r="B144" s="320"/>
      <c r="C144" s="662"/>
      <c r="D144" s="662"/>
      <c r="E144" s="662"/>
      <c r="F144" s="663"/>
      <c r="G144" s="663"/>
      <c r="H144" s="735"/>
      <c r="I144" s="735"/>
    </row>
    <row r="145" spans="1:9" ht="13.5">
      <c r="A145" s="661"/>
      <c r="B145" s="320"/>
      <c r="C145" s="662"/>
      <c r="D145" s="662"/>
      <c r="E145" s="662"/>
      <c r="F145" s="663"/>
      <c r="G145" s="663"/>
      <c r="H145" s="735"/>
      <c r="I145" s="735"/>
    </row>
    <row r="146" spans="1:9" ht="13.5">
      <c r="A146" s="661"/>
      <c r="B146" s="320"/>
      <c r="C146" s="662"/>
      <c r="D146" s="662"/>
      <c r="E146" s="662"/>
      <c r="F146" s="663"/>
      <c r="G146" s="663"/>
      <c r="H146" s="735"/>
      <c r="I146" s="735"/>
    </row>
    <row r="147" spans="1:9" ht="13.5">
      <c r="A147" s="661"/>
      <c r="B147" s="320"/>
      <c r="C147" s="662"/>
      <c r="D147" s="662"/>
      <c r="E147" s="662"/>
      <c r="F147" s="663"/>
      <c r="G147" s="663"/>
      <c r="H147" s="735"/>
      <c r="I147" s="735"/>
    </row>
    <row r="148" spans="1:9" ht="13.5">
      <c r="A148" s="661"/>
      <c r="B148" s="320"/>
      <c r="C148" s="662"/>
      <c r="D148" s="662"/>
      <c r="E148" s="662"/>
      <c r="F148" s="663"/>
      <c r="G148" s="663"/>
      <c r="H148" s="735"/>
      <c r="I148" s="735"/>
    </row>
    <row r="149" spans="1:9" ht="13.5">
      <c r="A149" s="661"/>
      <c r="B149" s="320"/>
      <c r="C149" s="662"/>
      <c r="D149" s="662"/>
      <c r="E149" s="662"/>
      <c r="F149" s="663"/>
      <c r="G149" s="663"/>
      <c r="H149" s="735"/>
      <c r="I149" s="735"/>
    </row>
    <row r="150" spans="1:9" ht="13.5">
      <c r="A150" s="661"/>
      <c r="B150" s="320"/>
      <c r="C150" s="662"/>
      <c r="D150" s="662"/>
      <c r="E150" s="662"/>
      <c r="F150" s="663"/>
      <c r="G150" s="663"/>
      <c r="H150" s="735"/>
      <c r="I150" s="735"/>
    </row>
    <row r="151" spans="1:9" ht="13.5">
      <c r="A151" s="661"/>
      <c r="B151" s="320"/>
      <c r="C151" s="662"/>
      <c r="D151" s="662"/>
      <c r="E151" s="662"/>
      <c r="F151" s="663"/>
      <c r="G151" s="663"/>
      <c r="H151" s="735"/>
      <c r="I151" s="735"/>
    </row>
    <row r="152" spans="1:9" ht="13.5">
      <c r="A152" s="661"/>
      <c r="B152" s="320"/>
      <c r="C152" s="662"/>
      <c r="D152" s="662"/>
      <c r="E152" s="662"/>
      <c r="F152" s="663"/>
      <c r="G152" s="663"/>
      <c r="H152" s="735"/>
      <c r="I152" s="735"/>
    </row>
    <row r="153" spans="1:9" ht="13.5">
      <c r="A153" s="661"/>
      <c r="B153" s="320"/>
      <c r="C153" s="662"/>
      <c r="D153" s="662"/>
      <c r="E153" s="662"/>
      <c r="F153" s="663"/>
      <c r="G153" s="663"/>
      <c r="H153" s="735"/>
      <c r="I153" s="735"/>
    </row>
    <row r="154" spans="1:9" ht="13.5">
      <c r="A154" s="661"/>
      <c r="B154" s="320"/>
      <c r="C154" s="662"/>
      <c r="D154" s="662"/>
      <c r="E154" s="662"/>
      <c r="F154" s="663"/>
      <c r="G154" s="663"/>
      <c r="H154" s="735"/>
      <c r="I154" s="735"/>
    </row>
    <row r="155" spans="1:9" ht="13.5">
      <c r="A155" s="661"/>
      <c r="B155" s="320"/>
      <c r="C155" s="662"/>
      <c r="D155" s="662"/>
      <c r="E155" s="662"/>
      <c r="F155" s="663"/>
      <c r="G155" s="663"/>
      <c r="H155" s="735"/>
      <c r="I155" s="735"/>
    </row>
    <row r="156" spans="1:9" ht="13.5">
      <c r="A156" s="661"/>
      <c r="B156" s="320"/>
      <c r="C156" s="662"/>
      <c r="D156" s="662"/>
      <c r="E156" s="662"/>
      <c r="F156" s="663"/>
      <c r="G156" s="663"/>
      <c r="H156" s="735"/>
      <c r="I156" s="735"/>
    </row>
    <row r="157" spans="1:9" ht="13.5">
      <c r="A157" s="661"/>
      <c r="B157" s="320"/>
      <c r="C157" s="662"/>
      <c r="D157" s="662"/>
      <c r="E157" s="662"/>
      <c r="F157" s="663"/>
      <c r="G157" s="663"/>
      <c r="H157" s="735"/>
      <c r="I157" s="735"/>
    </row>
    <row r="158" spans="1:9" ht="13.5">
      <c r="A158" s="661"/>
      <c r="B158" s="320"/>
      <c r="C158" s="662"/>
      <c r="D158" s="662"/>
      <c r="E158" s="662"/>
      <c r="F158" s="663"/>
      <c r="G158" s="663"/>
      <c r="H158" s="735"/>
      <c r="I158" s="735"/>
    </row>
    <row r="159" spans="1:9" ht="13.5">
      <c r="A159" s="661"/>
      <c r="B159" s="320"/>
      <c r="C159" s="662"/>
      <c r="D159" s="662"/>
      <c r="E159" s="662"/>
      <c r="F159" s="663"/>
      <c r="G159" s="663"/>
      <c r="H159" s="735"/>
      <c r="I159" s="735"/>
    </row>
    <row r="160" spans="1:9" ht="13.5">
      <c r="A160" s="661"/>
      <c r="B160" s="320"/>
      <c r="C160" s="662"/>
      <c r="D160" s="662"/>
      <c r="E160" s="662"/>
      <c r="F160" s="663"/>
      <c r="G160" s="663"/>
      <c r="H160" s="735"/>
      <c r="I160" s="735"/>
    </row>
    <row r="161" spans="1:9" ht="13.5">
      <c r="A161" s="661"/>
      <c r="B161" s="320"/>
      <c r="C161" s="662"/>
      <c r="D161" s="662"/>
      <c r="E161" s="662"/>
      <c r="F161" s="663"/>
      <c r="G161" s="663"/>
      <c r="H161" s="735"/>
      <c r="I161" s="735"/>
    </row>
    <row r="162" spans="1:9" ht="13.5">
      <c r="A162" s="661"/>
      <c r="B162" s="320"/>
      <c r="C162" s="662"/>
      <c r="D162" s="662"/>
      <c r="E162" s="662"/>
      <c r="F162" s="663"/>
      <c r="G162" s="663"/>
      <c r="H162" s="735"/>
      <c r="I162" s="735"/>
    </row>
    <row r="163" spans="1:9" ht="13.5">
      <c r="A163" s="661"/>
      <c r="B163" s="320"/>
      <c r="C163" s="662"/>
      <c r="D163" s="662"/>
      <c r="E163" s="662"/>
      <c r="F163" s="663"/>
      <c r="G163" s="663"/>
      <c r="H163" s="735"/>
      <c r="I163" s="735"/>
    </row>
    <row r="164" spans="1:9" ht="13.5">
      <c r="A164" s="661"/>
      <c r="B164" s="320"/>
      <c r="C164" s="662"/>
      <c r="D164" s="662"/>
      <c r="E164" s="662"/>
      <c r="F164" s="663"/>
      <c r="G164" s="663"/>
      <c r="H164" s="735"/>
      <c r="I164" s="735"/>
    </row>
    <row r="165" spans="1:9" ht="13.5">
      <c r="A165" s="661"/>
      <c r="B165" s="320"/>
      <c r="C165" s="662"/>
      <c r="D165" s="662"/>
      <c r="E165" s="662"/>
      <c r="F165" s="663"/>
      <c r="G165" s="663"/>
      <c r="H165" s="735"/>
      <c r="I165" s="735"/>
    </row>
    <row r="166" spans="1:9" ht="13.5">
      <c r="A166" s="661"/>
      <c r="B166" s="320"/>
      <c r="C166" s="662"/>
      <c r="D166" s="662"/>
      <c r="E166" s="662"/>
      <c r="F166" s="663"/>
      <c r="G166" s="663"/>
      <c r="H166" s="735"/>
      <c r="I166" s="735"/>
    </row>
    <row r="167" spans="1:9" ht="13.5">
      <c r="A167" s="661"/>
      <c r="B167" s="320"/>
      <c r="C167" s="662"/>
      <c r="D167" s="662"/>
      <c r="E167" s="662"/>
      <c r="F167" s="663"/>
      <c r="G167" s="663"/>
      <c r="H167" s="735"/>
      <c r="I167" s="735"/>
    </row>
    <row r="168" spans="1:9" ht="13.5">
      <c r="A168" s="661"/>
      <c r="B168" s="320"/>
      <c r="C168" s="662"/>
      <c r="D168" s="662"/>
      <c r="E168" s="662"/>
      <c r="F168" s="663"/>
      <c r="G168" s="663"/>
      <c r="H168" s="735"/>
      <c r="I168" s="735"/>
    </row>
    <row r="169" spans="1:9" ht="13.5">
      <c r="A169" s="661"/>
      <c r="B169" s="320"/>
      <c r="C169" s="662"/>
      <c r="D169" s="662"/>
      <c r="E169" s="662"/>
      <c r="F169" s="663"/>
      <c r="G169" s="663"/>
      <c r="H169" s="735"/>
      <c r="I169" s="735"/>
    </row>
    <row r="170" spans="1:9" ht="13.5">
      <c r="A170" s="661"/>
      <c r="B170" s="320"/>
      <c r="C170" s="662"/>
      <c r="D170" s="662"/>
      <c r="E170" s="662"/>
      <c r="F170" s="663"/>
      <c r="G170" s="663"/>
      <c r="H170" s="735"/>
      <c r="I170" s="735"/>
    </row>
    <row r="171" spans="1:9" ht="13.5">
      <c r="A171" s="661"/>
      <c r="B171" s="320"/>
      <c r="C171" s="662"/>
      <c r="D171" s="662"/>
      <c r="E171" s="662"/>
      <c r="F171" s="663"/>
      <c r="G171" s="663"/>
      <c r="H171" s="735"/>
      <c r="I171" s="735"/>
    </row>
    <row r="172" spans="1:9" ht="13.5">
      <c r="A172" s="661"/>
      <c r="B172" s="320"/>
      <c r="C172" s="662"/>
      <c r="D172" s="662"/>
      <c r="E172" s="662"/>
      <c r="F172" s="663"/>
      <c r="G172" s="663"/>
      <c r="H172" s="735"/>
      <c r="I172" s="735"/>
    </row>
    <row r="173" spans="1:9" ht="13.5">
      <c r="A173" s="661"/>
      <c r="B173" s="320"/>
      <c r="C173" s="662"/>
      <c r="D173" s="662"/>
      <c r="E173" s="662"/>
      <c r="F173" s="663"/>
      <c r="G173" s="663"/>
      <c r="H173" s="735"/>
      <c r="I173" s="735"/>
    </row>
    <row r="174" spans="1:9" ht="13.5">
      <c r="A174" s="661"/>
      <c r="B174" s="320"/>
      <c r="C174" s="662"/>
      <c r="D174" s="662"/>
      <c r="E174" s="662"/>
      <c r="F174" s="663"/>
      <c r="G174" s="663"/>
      <c r="H174" s="735"/>
      <c r="I174" s="735"/>
    </row>
    <row r="175" spans="1:9" ht="13.5">
      <c r="A175" s="661"/>
      <c r="B175" s="320"/>
      <c r="C175" s="662"/>
      <c r="D175" s="662"/>
      <c r="E175" s="662"/>
      <c r="F175" s="663"/>
      <c r="G175" s="663"/>
      <c r="H175" s="735"/>
      <c r="I175" s="735"/>
    </row>
    <row r="176" spans="1:9" ht="13.5">
      <c r="A176" s="661"/>
      <c r="B176" s="320"/>
      <c r="C176" s="662"/>
      <c r="D176" s="662"/>
      <c r="E176" s="662"/>
      <c r="F176" s="663"/>
      <c r="G176" s="663"/>
      <c r="H176" s="735"/>
      <c r="I176" s="735"/>
    </row>
    <row r="177" spans="1:9" ht="13.5">
      <c r="A177" s="661"/>
      <c r="B177" s="320"/>
      <c r="C177" s="662"/>
      <c r="D177" s="662"/>
      <c r="E177" s="662"/>
      <c r="F177" s="663"/>
      <c r="G177" s="663"/>
      <c r="H177" s="735"/>
      <c r="I177" s="735"/>
    </row>
    <row r="178" spans="1:9" ht="13.5">
      <c r="A178" s="661"/>
      <c r="B178" s="320"/>
      <c r="C178" s="662"/>
      <c r="D178" s="662"/>
      <c r="E178" s="662"/>
      <c r="F178" s="663"/>
      <c r="G178" s="663"/>
      <c r="H178" s="735"/>
      <c r="I178" s="735"/>
    </row>
    <row r="179" spans="1:9" ht="13.5">
      <c r="A179" s="661"/>
      <c r="B179" s="320"/>
      <c r="C179" s="662"/>
      <c r="D179" s="662"/>
      <c r="E179" s="662"/>
      <c r="F179" s="663"/>
      <c r="G179" s="663"/>
      <c r="H179" s="735"/>
      <c r="I179" s="735"/>
    </row>
    <row r="180" spans="1:9" ht="13.5">
      <c r="A180" s="661"/>
      <c r="B180" s="320"/>
      <c r="C180" s="662"/>
      <c r="D180" s="662"/>
      <c r="E180" s="662"/>
      <c r="F180" s="663"/>
      <c r="G180" s="663"/>
      <c r="H180" s="735"/>
      <c r="I180" s="735"/>
    </row>
    <row r="181" spans="1:9" ht="13.5">
      <c r="A181" s="661"/>
      <c r="B181" s="320"/>
      <c r="C181" s="662"/>
      <c r="D181" s="662"/>
      <c r="E181" s="662"/>
      <c r="F181" s="663"/>
      <c r="G181" s="663"/>
      <c r="H181" s="735"/>
      <c r="I181" s="735"/>
    </row>
    <row r="182" spans="1:9" ht="13.5">
      <c r="A182" s="661"/>
      <c r="B182" s="320"/>
      <c r="C182" s="662"/>
      <c r="D182" s="662"/>
      <c r="E182" s="662"/>
      <c r="F182" s="663"/>
      <c r="G182" s="663"/>
      <c r="H182" s="735"/>
      <c r="I182" s="735"/>
    </row>
    <row r="183" spans="1:9" ht="13.5">
      <c r="A183" s="661"/>
      <c r="B183" s="320"/>
      <c r="C183" s="662"/>
      <c r="D183" s="662"/>
      <c r="E183" s="662"/>
      <c r="F183" s="663"/>
      <c r="G183" s="663"/>
      <c r="H183" s="735"/>
      <c r="I183" s="735"/>
    </row>
    <row r="184" spans="1:9" ht="13.5">
      <c r="A184" s="661"/>
      <c r="B184" s="320"/>
      <c r="C184" s="662"/>
      <c r="D184" s="662"/>
      <c r="E184" s="662"/>
      <c r="F184" s="663"/>
      <c r="G184" s="663"/>
      <c r="H184" s="735"/>
      <c r="I184" s="735"/>
    </row>
    <row r="185" spans="1:9" ht="13.5">
      <c r="A185" s="661"/>
      <c r="B185" s="320"/>
      <c r="C185" s="662"/>
      <c r="D185" s="662"/>
      <c r="E185" s="662"/>
      <c r="F185" s="663"/>
      <c r="G185" s="663"/>
      <c r="H185" s="735"/>
      <c r="I185" s="735"/>
    </row>
    <row r="186" spans="1:9" ht="13.5">
      <c r="A186" s="661"/>
      <c r="B186" s="320"/>
      <c r="C186" s="662"/>
      <c r="D186" s="662"/>
      <c r="E186" s="662"/>
      <c r="F186" s="663"/>
      <c r="G186" s="663"/>
      <c r="H186" s="735"/>
      <c r="I186" s="735"/>
    </row>
    <row r="187" spans="1:9" ht="13.5">
      <c r="A187" s="661"/>
      <c r="B187" s="320"/>
      <c r="C187" s="662"/>
      <c r="D187" s="662"/>
      <c r="E187" s="662"/>
      <c r="F187" s="663"/>
      <c r="G187" s="663"/>
      <c r="H187" s="735"/>
      <c r="I187" s="735"/>
    </row>
    <row r="188" spans="1:9" ht="13.5">
      <c r="A188" s="661"/>
      <c r="B188" s="320"/>
      <c r="C188" s="662"/>
      <c r="D188" s="662"/>
      <c r="E188" s="662"/>
      <c r="F188" s="663"/>
      <c r="G188" s="663"/>
      <c r="H188" s="735"/>
      <c r="I188" s="735"/>
    </row>
    <row r="189" spans="1:9" ht="13.5">
      <c r="A189" s="661"/>
      <c r="B189" s="320"/>
      <c r="C189" s="662"/>
      <c r="D189" s="662"/>
      <c r="E189" s="662"/>
      <c r="F189" s="663"/>
      <c r="G189" s="663"/>
      <c r="H189" s="735"/>
      <c r="I189" s="735"/>
    </row>
    <row r="190" spans="1:9" ht="13.5">
      <c r="A190" s="661"/>
      <c r="B190" s="320"/>
      <c r="C190" s="662"/>
      <c r="D190" s="662"/>
      <c r="E190" s="662"/>
      <c r="F190" s="663"/>
      <c r="G190" s="663"/>
      <c r="H190" s="735"/>
      <c r="I190" s="735"/>
    </row>
    <row r="191" spans="1:9" ht="13.5">
      <c r="A191" s="661"/>
      <c r="B191" s="320"/>
      <c r="C191" s="662"/>
      <c r="D191" s="662"/>
      <c r="E191" s="662"/>
      <c r="F191" s="663"/>
      <c r="G191" s="663"/>
      <c r="H191" s="735"/>
      <c r="I191" s="735"/>
    </row>
    <row r="192" spans="1:9" ht="13.5">
      <c r="A192" s="661"/>
      <c r="B192" s="320"/>
      <c r="C192" s="662"/>
      <c r="D192" s="662"/>
      <c r="E192" s="662"/>
      <c r="F192" s="663"/>
      <c r="G192" s="663"/>
      <c r="H192" s="735"/>
      <c r="I192" s="735"/>
    </row>
    <row r="193" spans="1:9" ht="13.5">
      <c r="A193" s="661"/>
      <c r="B193" s="320"/>
      <c r="C193" s="662"/>
      <c r="D193" s="662"/>
      <c r="E193" s="662"/>
      <c r="F193" s="663"/>
      <c r="G193" s="663"/>
      <c r="H193" s="735"/>
      <c r="I193" s="735"/>
    </row>
    <row r="194" spans="1:9" ht="13.5">
      <c r="A194" s="661"/>
      <c r="B194" s="320"/>
      <c r="C194" s="662"/>
      <c r="D194" s="662"/>
      <c r="E194" s="662"/>
      <c r="F194" s="663"/>
      <c r="G194" s="663"/>
      <c r="H194" s="735"/>
      <c r="I194" s="735"/>
    </row>
    <row r="195" spans="1:9" ht="13.5">
      <c r="A195" s="661"/>
      <c r="B195" s="320"/>
      <c r="C195" s="662"/>
      <c r="D195" s="662"/>
      <c r="E195" s="662"/>
      <c r="F195" s="663"/>
      <c r="G195" s="663"/>
      <c r="H195" s="735"/>
      <c r="I195" s="735"/>
    </row>
    <row r="196" spans="1:9" ht="13.5">
      <c r="A196" s="661"/>
      <c r="B196" s="320"/>
      <c r="C196" s="662"/>
      <c r="D196" s="662"/>
      <c r="E196" s="662"/>
      <c r="F196" s="663"/>
      <c r="G196" s="663"/>
      <c r="H196" s="735"/>
      <c r="I196" s="735"/>
    </row>
    <row r="197" spans="1:9" ht="13.5">
      <c r="A197" s="661"/>
      <c r="B197" s="320"/>
      <c r="C197" s="662"/>
      <c r="D197" s="662"/>
      <c r="E197" s="662"/>
      <c r="F197" s="663"/>
      <c r="G197" s="663"/>
      <c r="H197" s="735"/>
      <c r="I197" s="735"/>
    </row>
    <row r="198" spans="1:9" ht="13.5">
      <c r="A198" s="661"/>
      <c r="B198" s="320"/>
      <c r="C198" s="662"/>
      <c r="D198" s="662"/>
      <c r="E198" s="662"/>
      <c r="F198" s="663"/>
      <c r="G198" s="663"/>
      <c r="H198" s="735"/>
      <c r="I198" s="735"/>
    </row>
    <row r="199" spans="1:9" ht="13.5">
      <c r="A199" s="661"/>
      <c r="B199" s="320"/>
      <c r="C199" s="662"/>
      <c r="D199" s="662"/>
      <c r="E199" s="662"/>
      <c r="F199" s="663"/>
      <c r="G199" s="663"/>
      <c r="H199" s="735"/>
      <c r="I199" s="735"/>
    </row>
    <row r="200" spans="1:9" ht="13.5">
      <c r="A200" s="661"/>
      <c r="B200" s="320"/>
      <c r="C200" s="662"/>
      <c r="D200" s="662"/>
      <c r="E200" s="662"/>
      <c r="F200" s="663"/>
      <c r="G200" s="663"/>
      <c r="H200" s="735"/>
      <c r="I200" s="735"/>
    </row>
    <row r="201" spans="1:9" ht="13.5">
      <c r="A201" s="661"/>
      <c r="B201" s="320"/>
      <c r="C201" s="662"/>
      <c r="D201" s="662"/>
      <c r="E201" s="662"/>
      <c r="F201" s="663"/>
      <c r="G201" s="663"/>
      <c r="H201" s="735"/>
      <c r="I201" s="735"/>
    </row>
    <row r="202" spans="1:9" ht="13.5">
      <c r="A202" s="661"/>
      <c r="B202" s="320"/>
      <c r="C202" s="662"/>
      <c r="D202" s="662"/>
      <c r="E202" s="662"/>
      <c r="F202" s="663"/>
      <c r="G202" s="663"/>
      <c r="H202" s="735"/>
      <c r="I202" s="735"/>
    </row>
    <row r="203" spans="1:9" ht="13.5">
      <c r="A203" s="661"/>
      <c r="B203" s="320"/>
      <c r="C203" s="662"/>
      <c r="D203" s="662"/>
      <c r="E203" s="662"/>
      <c r="F203" s="663"/>
      <c r="G203" s="663"/>
      <c r="H203" s="735"/>
      <c r="I203" s="735"/>
    </row>
    <row r="204" spans="1:9" ht="13.5">
      <c r="A204" s="661"/>
      <c r="B204" s="320"/>
      <c r="C204" s="662"/>
      <c r="D204" s="662"/>
      <c r="E204" s="662"/>
      <c r="F204" s="663"/>
      <c r="G204" s="663"/>
      <c r="H204" s="735"/>
      <c r="I204" s="735"/>
    </row>
    <row r="205" spans="1:9" ht="13.5">
      <c r="A205" s="661"/>
      <c r="B205" s="320"/>
      <c r="C205" s="662"/>
      <c r="D205" s="662"/>
      <c r="E205" s="662"/>
      <c r="F205" s="663"/>
      <c r="G205" s="663"/>
      <c r="H205" s="735"/>
      <c r="I205" s="735"/>
    </row>
    <row r="206" spans="1:9" ht="13.5">
      <c r="A206" s="661"/>
      <c r="B206" s="320"/>
      <c r="C206" s="662"/>
      <c r="D206" s="662"/>
      <c r="E206" s="662"/>
      <c r="F206" s="663"/>
      <c r="G206" s="663"/>
      <c r="H206" s="735"/>
      <c r="I206" s="735"/>
    </row>
    <row r="207" spans="1:9" ht="13.5">
      <c r="A207" s="661"/>
      <c r="B207" s="320"/>
      <c r="C207" s="662"/>
      <c r="D207" s="662"/>
      <c r="E207" s="662"/>
      <c r="F207" s="663"/>
      <c r="G207" s="663"/>
      <c r="H207" s="735"/>
      <c r="I207" s="735"/>
    </row>
    <row r="208" spans="1:9" ht="13.5">
      <c r="A208" s="661"/>
      <c r="B208" s="320"/>
      <c r="C208" s="662"/>
      <c r="D208" s="662"/>
      <c r="E208" s="662"/>
      <c r="F208" s="663"/>
      <c r="G208" s="663"/>
      <c r="H208" s="735"/>
      <c r="I208" s="735"/>
    </row>
    <row r="209" spans="1:9" ht="13.5">
      <c r="A209" s="661"/>
      <c r="B209" s="320"/>
      <c r="C209" s="662"/>
      <c r="D209" s="662"/>
      <c r="E209" s="662"/>
      <c r="F209" s="663"/>
      <c r="G209" s="663"/>
      <c r="H209" s="735"/>
      <c r="I209" s="735"/>
    </row>
    <row r="210" spans="1:9" ht="13.5">
      <c r="A210" s="661"/>
      <c r="B210" s="320"/>
      <c r="C210" s="662"/>
      <c r="D210" s="662"/>
      <c r="E210" s="662"/>
      <c r="F210" s="663"/>
      <c r="G210" s="663"/>
      <c r="H210" s="735"/>
      <c r="I210" s="735"/>
    </row>
    <row r="211" spans="1:9" ht="13.5">
      <c r="A211" s="661"/>
      <c r="B211" s="320"/>
      <c r="C211" s="662"/>
      <c r="D211" s="662"/>
      <c r="E211" s="662"/>
      <c r="F211" s="663"/>
      <c r="G211" s="663"/>
      <c r="H211" s="735"/>
      <c r="I211" s="735"/>
    </row>
    <row r="212" spans="1:9" ht="13.5">
      <c r="A212" s="661"/>
      <c r="B212" s="320"/>
      <c r="C212" s="662"/>
      <c r="D212" s="662"/>
      <c r="E212" s="662"/>
      <c r="F212" s="663"/>
      <c r="G212" s="663"/>
      <c r="H212" s="735"/>
      <c r="I212" s="735"/>
    </row>
    <row r="213" spans="1:9" ht="13.5">
      <c r="A213" s="661"/>
      <c r="B213" s="320"/>
      <c r="C213" s="662"/>
      <c r="D213" s="662"/>
      <c r="E213" s="662"/>
      <c r="F213" s="663"/>
      <c r="G213" s="663"/>
      <c r="H213" s="735"/>
      <c r="I213" s="735"/>
    </row>
    <row r="214" spans="1:9" ht="13.5">
      <c r="A214" s="661"/>
      <c r="B214" s="320"/>
      <c r="C214" s="662"/>
      <c r="D214" s="662"/>
      <c r="E214" s="662"/>
      <c r="F214" s="663"/>
      <c r="G214" s="663"/>
      <c r="H214" s="735"/>
      <c r="I214" s="735"/>
    </row>
    <row r="215" spans="1:9" ht="13.5">
      <c r="A215" s="661"/>
      <c r="B215" s="320"/>
      <c r="C215" s="662"/>
      <c r="D215" s="662"/>
      <c r="E215" s="662"/>
      <c r="F215" s="663"/>
      <c r="G215" s="663"/>
      <c r="H215" s="735"/>
      <c r="I215" s="735"/>
    </row>
    <row r="216" spans="1:9" ht="13.5">
      <c r="A216" s="661"/>
      <c r="B216" s="320"/>
      <c r="C216" s="662"/>
      <c r="D216" s="662"/>
      <c r="E216" s="662"/>
      <c r="F216" s="663"/>
      <c r="G216" s="663"/>
      <c r="H216" s="735"/>
      <c r="I216" s="735"/>
    </row>
    <row r="217" spans="1:9" ht="13.5">
      <c r="A217" s="661"/>
      <c r="B217" s="320"/>
      <c r="C217" s="662"/>
      <c r="D217" s="662"/>
      <c r="E217" s="662"/>
      <c r="F217" s="663"/>
      <c r="G217" s="663"/>
      <c r="H217" s="735"/>
      <c r="I217" s="735"/>
    </row>
    <row r="218" spans="1:9" ht="13.5">
      <c r="A218" s="661"/>
      <c r="B218" s="320"/>
      <c r="C218" s="662"/>
      <c r="D218" s="662"/>
      <c r="E218" s="662"/>
      <c r="F218" s="663"/>
      <c r="G218" s="663"/>
      <c r="H218" s="735"/>
      <c r="I218" s="735"/>
    </row>
    <row r="219" spans="1:9" ht="13.5">
      <c r="A219" s="661"/>
      <c r="B219" s="320"/>
      <c r="C219" s="662"/>
      <c r="D219" s="662"/>
      <c r="E219" s="662"/>
      <c r="F219" s="663"/>
      <c r="G219" s="663"/>
      <c r="H219" s="735"/>
      <c r="I219" s="735"/>
    </row>
    <row r="220" spans="1:9" ht="13.5">
      <c r="A220" s="661"/>
      <c r="B220" s="320"/>
      <c r="C220" s="662"/>
      <c r="D220" s="662"/>
      <c r="E220" s="662"/>
      <c r="F220" s="663"/>
      <c r="G220" s="663"/>
      <c r="H220" s="735"/>
      <c r="I220" s="735"/>
    </row>
    <row r="221" spans="1:9" ht="13.5">
      <c r="A221" s="661"/>
      <c r="B221" s="320"/>
      <c r="C221" s="662"/>
      <c r="D221" s="662"/>
      <c r="E221" s="662"/>
      <c r="F221" s="663"/>
      <c r="G221" s="663"/>
      <c r="H221" s="735"/>
      <c r="I221" s="735"/>
    </row>
    <row r="222" spans="1:9" ht="13.5">
      <c r="A222" s="661"/>
      <c r="B222" s="320"/>
      <c r="C222" s="662"/>
      <c r="D222" s="662"/>
      <c r="E222" s="662"/>
      <c r="F222" s="663"/>
      <c r="G222" s="663"/>
      <c r="H222" s="735"/>
      <c r="I222" s="735"/>
    </row>
    <row r="223" spans="1:9" ht="13.5">
      <c r="A223" s="661"/>
      <c r="B223" s="320"/>
      <c r="C223" s="662"/>
      <c r="D223" s="662"/>
      <c r="E223" s="662"/>
      <c r="F223" s="663"/>
      <c r="G223" s="663"/>
      <c r="H223" s="735"/>
      <c r="I223" s="735"/>
    </row>
    <row r="224" spans="1:9" ht="13.5">
      <c r="A224" s="661"/>
      <c r="B224" s="320"/>
      <c r="C224" s="662"/>
      <c r="D224" s="662"/>
      <c r="E224" s="662"/>
      <c r="F224" s="663"/>
      <c r="G224" s="663"/>
      <c r="H224" s="735"/>
      <c r="I224" s="735"/>
    </row>
    <row r="225" spans="1:9" ht="13.5">
      <c r="A225" s="661"/>
      <c r="B225" s="320"/>
      <c r="C225" s="662"/>
      <c r="D225" s="662"/>
      <c r="E225" s="662"/>
      <c r="F225" s="663"/>
      <c r="G225" s="663"/>
      <c r="H225" s="735"/>
      <c r="I225" s="735"/>
    </row>
    <row r="226" spans="1:9" ht="13.5">
      <c r="A226" s="661"/>
      <c r="B226" s="320"/>
      <c r="C226" s="662"/>
      <c r="D226" s="662"/>
      <c r="E226" s="662"/>
      <c r="F226" s="663"/>
      <c r="G226" s="663"/>
      <c r="H226" s="735"/>
      <c r="I226" s="735"/>
    </row>
    <row r="227" spans="1:9" ht="13.5">
      <c r="A227" s="661"/>
      <c r="B227" s="320"/>
      <c r="C227" s="662"/>
      <c r="D227" s="662"/>
      <c r="E227" s="662"/>
      <c r="F227" s="663"/>
      <c r="G227" s="663"/>
      <c r="H227" s="735"/>
      <c r="I227" s="735"/>
    </row>
    <row r="228" spans="1:9" ht="13.5">
      <c r="A228" s="661"/>
      <c r="B228" s="320"/>
      <c r="C228" s="662"/>
      <c r="D228" s="662"/>
      <c r="E228" s="662"/>
      <c r="F228" s="663"/>
      <c r="G228" s="663"/>
      <c r="H228" s="735"/>
      <c r="I228" s="735"/>
    </row>
    <row r="229" spans="1:9" ht="13.5">
      <c r="A229" s="661"/>
      <c r="B229" s="320"/>
      <c r="C229" s="662"/>
      <c r="D229" s="662"/>
      <c r="E229" s="662"/>
      <c r="F229" s="663"/>
      <c r="G229" s="663"/>
      <c r="H229" s="735"/>
      <c r="I229" s="735"/>
    </row>
    <row r="230" spans="1:9" ht="13.5">
      <c r="A230" s="661"/>
      <c r="B230" s="320"/>
      <c r="C230" s="662"/>
      <c r="D230" s="662"/>
      <c r="E230" s="662"/>
      <c r="F230" s="663"/>
      <c r="G230" s="663"/>
      <c r="H230" s="735"/>
      <c r="I230" s="735"/>
    </row>
    <row r="231" spans="1:9" ht="13.5">
      <c r="A231" s="661"/>
      <c r="B231" s="320"/>
      <c r="C231" s="662"/>
      <c r="D231" s="662"/>
      <c r="E231" s="662"/>
      <c r="F231" s="663"/>
      <c r="G231" s="663"/>
      <c r="H231" s="735"/>
      <c r="I231" s="735"/>
    </row>
    <row r="232" spans="1:9" ht="13.5">
      <c r="A232" s="661"/>
      <c r="B232" s="320"/>
      <c r="C232" s="662"/>
      <c r="D232" s="662"/>
      <c r="E232" s="662"/>
      <c r="F232" s="663"/>
      <c r="G232" s="663"/>
      <c r="H232" s="735"/>
      <c r="I232" s="735"/>
    </row>
    <row r="233" spans="1:9" ht="13.5">
      <c r="A233" s="661"/>
      <c r="B233" s="320"/>
      <c r="C233" s="662"/>
      <c r="D233" s="662"/>
      <c r="E233" s="662"/>
      <c r="F233" s="663"/>
      <c r="G233" s="663"/>
      <c r="H233" s="735"/>
      <c r="I233" s="735"/>
    </row>
    <row r="234" spans="1:9" ht="13.5">
      <c r="A234" s="661"/>
      <c r="B234" s="320"/>
      <c r="C234" s="662"/>
      <c r="D234" s="662"/>
      <c r="E234" s="662"/>
      <c r="F234" s="663"/>
      <c r="G234" s="663"/>
      <c r="H234" s="735"/>
      <c r="I234" s="735"/>
    </row>
    <row r="235" spans="1:9" ht="13.5">
      <c r="A235" s="661"/>
      <c r="B235" s="320"/>
      <c r="C235" s="662"/>
      <c r="D235" s="662"/>
      <c r="E235" s="662"/>
      <c r="F235" s="663"/>
      <c r="G235" s="663"/>
      <c r="H235" s="735"/>
      <c r="I235" s="735"/>
    </row>
    <row r="236" spans="1:9" ht="13.5">
      <c r="A236" s="661"/>
      <c r="B236" s="320"/>
      <c r="C236" s="662"/>
      <c r="D236" s="662"/>
      <c r="E236" s="662"/>
      <c r="F236" s="663"/>
      <c r="G236" s="663"/>
      <c r="H236" s="735"/>
      <c r="I236" s="735"/>
    </row>
    <row r="237" spans="1:9" ht="13.5">
      <c r="A237" s="661"/>
      <c r="B237" s="320"/>
      <c r="C237" s="662"/>
      <c r="D237" s="662"/>
      <c r="E237" s="662"/>
      <c r="F237" s="663"/>
      <c r="G237" s="663"/>
      <c r="H237" s="735"/>
      <c r="I237" s="735"/>
    </row>
    <row r="238" spans="1:9" ht="13.5">
      <c r="A238" s="661"/>
      <c r="B238" s="320"/>
      <c r="C238" s="662"/>
      <c r="D238" s="662"/>
      <c r="E238" s="662"/>
      <c r="F238" s="663"/>
      <c r="G238" s="663"/>
      <c r="H238" s="735"/>
      <c r="I238" s="735"/>
    </row>
    <row r="239" spans="1:9" ht="13.5">
      <c r="A239" s="661"/>
      <c r="B239" s="320"/>
      <c r="C239" s="662"/>
      <c r="D239" s="662"/>
      <c r="E239" s="662"/>
      <c r="F239" s="663"/>
      <c r="G239" s="663"/>
      <c r="H239" s="735"/>
      <c r="I239" s="735"/>
    </row>
    <row r="240" spans="1:9" ht="13.5">
      <c r="A240" s="661"/>
      <c r="B240" s="320"/>
      <c r="C240" s="662"/>
      <c r="D240" s="662"/>
      <c r="E240" s="662"/>
      <c r="F240" s="663"/>
      <c r="G240" s="663"/>
      <c r="H240" s="735"/>
      <c r="I240" s="735"/>
    </row>
    <row r="241" spans="1:9" ht="13.5">
      <c r="A241" s="661"/>
      <c r="B241" s="320"/>
      <c r="C241" s="662"/>
      <c r="D241" s="662"/>
      <c r="E241" s="662"/>
      <c r="F241" s="663"/>
      <c r="G241" s="663"/>
      <c r="H241" s="735"/>
      <c r="I241" s="735"/>
    </row>
    <row r="242" spans="1:9" ht="13.5">
      <c r="A242" s="661"/>
      <c r="B242" s="320"/>
      <c r="C242" s="662"/>
      <c r="D242" s="662"/>
      <c r="E242" s="662"/>
      <c r="F242" s="663"/>
      <c r="G242" s="663"/>
      <c r="H242" s="735"/>
      <c r="I242" s="735"/>
    </row>
    <row r="243" spans="1:9" ht="13.5">
      <c r="A243" s="661"/>
      <c r="B243" s="320"/>
      <c r="C243" s="662"/>
      <c r="D243" s="662"/>
      <c r="E243" s="662"/>
      <c r="F243" s="663"/>
      <c r="G243" s="663"/>
      <c r="H243" s="735"/>
      <c r="I243" s="735"/>
    </row>
    <row r="244" spans="1:9" ht="13.5">
      <c r="A244" s="661"/>
      <c r="B244" s="320"/>
      <c r="C244" s="662"/>
      <c r="D244" s="662"/>
      <c r="E244" s="662"/>
      <c r="F244" s="663"/>
      <c r="G244" s="663"/>
      <c r="H244" s="735"/>
      <c r="I244" s="735"/>
    </row>
    <row r="245" spans="1:9" ht="13.5">
      <c r="A245" s="661"/>
      <c r="B245" s="320"/>
      <c r="C245" s="662"/>
      <c r="D245" s="662"/>
      <c r="E245" s="662"/>
      <c r="F245" s="663"/>
      <c r="G245" s="663"/>
      <c r="H245" s="735"/>
      <c r="I245" s="735"/>
    </row>
    <row r="246" spans="1:9" ht="13.5">
      <c r="A246" s="661"/>
      <c r="B246" s="320"/>
      <c r="C246" s="662"/>
      <c r="D246" s="662"/>
      <c r="E246" s="662"/>
      <c r="F246" s="663"/>
      <c r="G246" s="663"/>
      <c r="H246" s="735"/>
      <c r="I246" s="735"/>
    </row>
    <row r="247" spans="1:9" ht="13.5">
      <c r="A247" s="661"/>
      <c r="B247" s="320"/>
      <c r="C247" s="662"/>
      <c r="D247" s="662"/>
      <c r="E247" s="662"/>
      <c r="F247" s="663"/>
      <c r="G247" s="663"/>
      <c r="H247" s="735"/>
      <c r="I247" s="735"/>
    </row>
    <row r="248" spans="1:9" ht="13.5">
      <c r="A248" s="661"/>
      <c r="B248" s="320"/>
      <c r="C248" s="662"/>
      <c r="D248" s="662"/>
      <c r="E248" s="662"/>
      <c r="F248" s="663"/>
      <c r="G248" s="663"/>
      <c r="H248" s="735"/>
      <c r="I248" s="735"/>
    </row>
    <row r="249" spans="1:9" ht="13.5">
      <c r="A249" s="661"/>
      <c r="B249" s="320"/>
      <c r="C249" s="662"/>
      <c r="D249" s="662"/>
      <c r="E249" s="662"/>
      <c r="F249" s="663"/>
      <c r="G249" s="663"/>
      <c r="H249" s="735"/>
      <c r="I249" s="735"/>
    </row>
    <row r="250" spans="1:9" ht="13.5">
      <c r="A250" s="661"/>
      <c r="B250" s="320"/>
      <c r="C250" s="662"/>
      <c r="D250" s="662"/>
      <c r="E250" s="662"/>
      <c r="F250" s="663"/>
      <c r="G250" s="663"/>
      <c r="H250" s="735"/>
      <c r="I250" s="735"/>
    </row>
    <row r="251" spans="1:9" ht="13.5">
      <c r="A251" s="661"/>
      <c r="B251" s="320"/>
      <c r="C251" s="662"/>
      <c r="D251" s="662"/>
      <c r="E251" s="662"/>
      <c r="F251" s="663"/>
      <c r="G251" s="663"/>
      <c r="H251" s="735"/>
      <c r="I251" s="735"/>
    </row>
    <row r="252" spans="1:9" ht="13.5">
      <c r="A252" s="661"/>
      <c r="B252" s="320"/>
      <c r="C252" s="662"/>
      <c r="D252" s="662"/>
      <c r="E252" s="662"/>
      <c r="F252" s="663"/>
      <c r="G252" s="663"/>
      <c r="H252" s="735"/>
      <c r="I252" s="735"/>
    </row>
    <row r="253" spans="1:9" ht="13.5">
      <c r="A253" s="661"/>
      <c r="B253" s="320"/>
      <c r="C253" s="662"/>
      <c r="D253" s="662"/>
      <c r="E253" s="662"/>
      <c r="F253" s="663"/>
      <c r="G253" s="663"/>
      <c r="H253" s="735"/>
      <c r="I253" s="735"/>
    </row>
    <row r="254" spans="1:9" ht="13.5">
      <c r="A254" s="661"/>
      <c r="B254" s="320"/>
      <c r="C254" s="662"/>
      <c r="D254" s="662"/>
      <c r="E254" s="662"/>
      <c r="F254" s="663"/>
      <c r="G254" s="663"/>
      <c r="H254" s="735"/>
      <c r="I254" s="735"/>
    </row>
    <row r="255" spans="1:9" ht="13.5">
      <c r="A255" s="661"/>
      <c r="B255" s="320"/>
      <c r="C255" s="662"/>
      <c r="D255" s="662"/>
      <c r="E255" s="662"/>
      <c r="F255" s="663"/>
      <c r="G255" s="663"/>
      <c r="H255" s="735"/>
      <c r="I255" s="735"/>
    </row>
    <row r="256" spans="1:9" ht="13.5">
      <c r="A256" s="661"/>
      <c r="B256" s="320"/>
      <c r="C256" s="662"/>
      <c r="D256" s="662"/>
      <c r="E256" s="662"/>
      <c r="F256" s="663"/>
      <c r="G256" s="663"/>
      <c r="H256" s="735"/>
      <c r="I256" s="735"/>
    </row>
    <row r="257" spans="1:9" ht="13.5">
      <c r="A257" s="661"/>
      <c r="B257" s="320"/>
      <c r="C257" s="662"/>
      <c r="D257" s="662"/>
      <c r="E257" s="662"/>
      <c r="F257" s="663"/>
      <c r="G257" s="663"/>
      <c r="H257" s="735"/>
      <c r="I257" s="735"/>
    </row>
    <row r="258" spans="1:9" ht="13.5">
      <c r="A258" s="661"/>
      <c r="B258" s="320"/>
      <c r="C258" s="662"/>
      <c r="D258" s="662"/>
      <c r="E258" s="662"/>
      <c r="F258" s="663"/>
      <c r="G258" s="663"/>
      <c r="H258" s="735"/>
      <c r="I258" s="735"/>
    </row>
    <row r="259" spans="1:9" ht="13.5">
      <c r="A259" s="661"/>
      <c r="B259" s="320"/>
      <c r="C259" s="662"/>
      <c r="D259" s="662"/>
      <c r="E259" s="662"/>
      <c r="F259" s="663"/>
      <c r="G259" s="663"/>
      <c r="H259" s="735"/>
      <c r="I259" s="735"/>
    </row>
    <row r="260" spans="1:9" ht="13.5">
      <c r="A260" s="661"/>
      <c r="B260" s="320"/>
      <c r="C260" s="662"/>
      <c r="D260" s="662"/>
      <c r="E260" s="662"/>
      <c r="F260" s="663"/>
      <c r="G260" s="663"/>
      <c r="H260" s="735"/>
      <c r="I260" s="735"/>
    </row>
    <row r="261" spans="1:9" ht="13.5">
      <c r="A261" s="661"/>
      <c r="B261" s="320"/>
      <c r="C261" s="662"/>
      <c r="D261" s="662"/>
      <c r="E261" s="662"/>
      <c r="F261" s="663"/>
      <c r="G261" s="663"/>
      <c r="H261" s="735"/>
      <c r="I261" s="735"/>
    </row>
    <row r="262" spans="1:9" ht="13.5">
      <c r="A262" s="661"/>
      <c r="B262" s="320"/>
      <c r="C262" s="662"/>
      <c r="D262" s="662"/>
      <c r="E262" s="662"/>
      <c r="F262" s="663"/>
      <c r="G262" s="663"/>
      <c r="H262" s="735"/>
      <c r="I262" s="735"/>
    </row>
    <row r="263" spans="1:9" ht="13.5">
      <c r="A263" s="661"/>
      <c r="B263" s="320"/>
      <c r="C263" s="662"/>
      <c r="D263" s="662"/>
      <c r="E263" s="662"/>
      <c r="F263" s="663"/>
      <c r="G263" s="663"/>
      <c r="H263" s="735"/>
      <c r="I263" s="735"/>
    </row>
    <row r="264" spans="1:9" ht="13.5">
      <c r="A264" s="661"/>
      <c r="B264" s="320"/>
      <c r="C264" s="662"/>
      <c r="D264" s="662"/>
      <c r="E264" s="662"/>
      <c r="F264" s="663"/>
      <c r="G264" s="663"/>
      <c r="H264" s="735"/>
      <c r="I264" s="735"/>
    </row>
    <row r="265" spans="1:9" ht="13.5">
      <c r="A265" s="661"/>
      <c r="B265" s="320"/>
      <c r="C265" s="662"/>
      <c r="D265" s="662"/>
      <c r="E265" s="662"/>
      <c r="F265" s="663"/>
      <c r="G265" s="663"/>
      <c r="H265" s="735"/>
      <c r="I265" s="735"/>
    </row>
    <row r="266" spans="1:9" ht="13.5">
      <c r="A266" s="661"/>
      <c r="B266" s="320"/>
      <c r="C266" s="662"/>
      <c r="D266" s="662"/>
      <c r="E266" s="662"/>
      <c r="F266" s="663"/>
      <c r="G266" s="663"/>
      <c r="H266" s="735"/>
      <c r="I266" s="735"/>
    </row>
    <row r="267" spans="1:9" ht="13.5">
      <c r="A267" s="661"/>
      <c r="B267" s="320"/>
      <c r="C267" s="662"/>
      <c r="D267" s="662"/>
      <c r="E267" s="662"/>
      <c r="F267" s="663"/>
      <c r="G267" s="663"/>
      <c r="H267" s="735"/>
      <c r="I267" s="735"/>
    </row>
    <row r="268" spans="1:9" ht="13.5">
      <c r="A268" s="661"/>
      <c r="B268" s="320"/>
      <c r="C268" s="662"/>
      <c r="D268" s="662"/>
      <c r="E268" s="662"/>
      <c r="F268" s="663"/>
      <c r="G268" s="663"/>
      <c r="H268" s="735"/>
      <c r="I268" s="735"/>
    </row>
    <row r="269" spans="1:9" ht="13.5">
      <c r="A269" s="661"/>
      <c r="B269" s="320"/>
      <c r="C269" s="662"/>
      <c r="D269" s="662"/>
      <c r="E269" s="662"/>
      <c r="F269" s="663"/>
      <c r="G269" s="663"/>
      <c r="H269" s="735"/>
      <c r="I269" s="735"/>
    </row>
    <row r="270" spans="1:9" ht="13.5">
      <c r="A270" s="661"/>
      <c r="B270" s="320"/>
      <c r="C270" s="662"/>
      <c r="D270" s="662"/>
      <c r="E270" s="662"/>
      <c r="F270" s="663"/>
      <c r="G270" s="663"/>
      <c r="H270" s="735"/>
      <c r="I270" s="735"/>
    </row>
    <row r="271" spans="1:9" ht="13.5">
      <c r="A271" s="661"/>
      <c r="B271" s="320"/>
      <c r="C271" s="662"/>
      <c r="D271" s="662"/>
      <c r="E271" s="662"/>
      <c r="F271" s="663"/>
      <c r="G271" s="663"/>
      <c r="H271" s="735"/>
      <c r="I271" s="735"/>
    </row>
    <row r="272" spans="1:9" ht="13.5">
      <c r="A272" s="661"/>
      <c r="B272" s="320"/>
      <c r="C272" s="662"/>
      <c r="D272" s="662"/>
      <c r="E272" s="662"/>
      <c r="F272" s="663"/>
      <c r="G272" s="663"/>
      <c r="H272" s="735"/>
      <c r="I272" s="735"/>
    </row>
    <row r="273" spans="1:9" ht="13.5">
      <c r="A273" s="661"/>
      <c r="B273" s="320"/>
      <c r="C273" s="662"/>
      <c r="D273" s="662"/>
      <c r="E273" s="662"/>
      <c r="F273" s="663"/>
      <c r="G273" s="663"/>
      <c r="H273" s="735"/>
      <c r="I273" s="735"/>
    </row>
    <row r="274" spans="1:9" ht="13.5">
      <c r="A274" s="661"/>
      <c r="B274" s="320"/>
      <c r="C274" s="662"/>
      <c r="D274" s="662"/>
      <c r="E274" s="662"/>
      <c r="F274" s="663"/>
      <c r="G274" s="663"/>
      <c r="H274" s="735"/>
      <c r="I274" s="735"/>
    </row>
    <row r="275" spans="1:9" ht="13.5">
      <c r="A275" s="661"/>
      <c r="B275" s="320"/>
      <c r="C275" s="662"/>
      <c r="D275" s="662"/>
      <c r="E275" s="662"/>
      <c r="F275" s="663"/>
      <c r="G275" s="663"/>
      <c r="H275" s="735"/>
      <c r="I275" s="735"/>
    </row>
    <row r="276" spans="1:9" ht="13.5">
      <c r="A276" s="661"/>
      <c r="B276" s="320"/>
      <c r="C276" s="662"/>
      <c r="D276" s="662"/>
      <c r="E276" s="662"/>
      <c r="F276" s="663"/>
      <c r="G276" s="663"/>
      <c r="H276" s="735"/>
      <c r="I276" s="735"/>
    </row>
    <row r="277" spans="1:9" ht="13.5">
      <c r="A277" s="661"/>
      <c r="B277" s="320"/>
      <c r="C277" s="662"/>
      <c r="D277" s="662"/>
      <c r="E277" s="662"/>
      <c r="F277" s="663"/>
      <c r="G277" s="663"/>
      <c r="H277" s="735"/>
      <c r="I277" s="735"/>
    </row>
    <row r="278" spans="1:9" ht="13.5">
      <c r="A278" s="661"/>
      <c r="B278" s="320"/>
      <c r="C278" s="662"/>
      <c r="D278" s="662"/>
      <c r="E278" s="662"/>
      <c r="F278" s="663"/>
      <c r="G278" s="663"/>
      <c r="H278" s="735"/>
      <c r="I278" s="735"/>
    </row>
    <row r="279" spans="1:9" ht="13.5">
      <c r="A279" s="661"/>
      <c r="B279" s="320"/>
      <c r="C279" s="662"/>
      <c r="D279" s="662"/>
      <c r="E279" s="662"/>
      <c r="F279" s="663"/>
      <c r="G279" s="663"/>
      <c r="H279" s="735"/>
      <c r="I279" s="735"/>
    </row>
    <row r="280" spans="1:9" ht="13.5">
      <c r="A280" s="661"/>
      <c r="B280" s="320"/>
      <c r="C280" s="662"/>
      <c r="D280" s="662"/>
      <c r="E280" s="662"/>
      <c r="F280" s="663"/>
      <c r="G280" s="663"/>
      <c r="H280" s="735"/>
      <c r="I280" s="735"/>
    </row>
    <row r="281" spans="1:9" ht="13.5">
      <c r="A281" s="661"/>
      <c r="B281" s="320"/>
      <c r="C281" s="662"/>
      <c r="D281" s="662"/>
      <c r="E281" s="662"/>
      <c r="F281" s="663"/>
      <c r="G281" s="663"/>
      <c r="H281" s="735"/>
      <c r="I281" s="735"/>
    </row>
    <row r="282" spans="1:9" ht="13.5">
      <c r="A282" s="661"/>
      <c r="B282" s="320"/>
      <c r="C282" s="662"/>
      <c r="D282" s="662"/>
      <c r="E282" s="662"/>
      <c r="F282" s="663"/>
      <c r="G282" s="663"/>
      <c r="H282" s="735"/>
      <c r="I282" s="735"/>
    </row>
    <row r="283" spans="1:9" ht="13.5">
      <c r="A283" s="661"/>
      <c r="B283" s="320"/>
      <c r="C283" s="662"/>
      <c r="D283" s="662"/>
      <c r="E283" s="662"/>
      <c r="F283" s="663"/>
      <c r="G283" s="663"/>
      <c r="H283" s="735"/>
      <c r="I283" s="735"/>
    </row>
    <row r="284" spans="1:9" ht="13.5">
      <c r="A284" s="661"/>
      <c r="B284" s="320"/>
      <c r="C284" s="662"/>
      <c r="D284" s="662"/>
      <c r="E284" s="662"/>
      <c r="F284" s="663"/>
      <c r="G284" s="663"/>
      <c r="H284" s="735"/>
      <c r="I284" s="735"/>
    </row>
    <row r="285" spans="1:9" ht="13.5">
      <c r="A285" s="661"/>
      <c r="B285" s="320"/>
      <c r="C285" s="662"/>
      <c r="D285" s="662"/>
      <c r="E285" s="662"/>
      <c r="F285" s="663"/>
      <c r="G285" s="663"/>
      <c r="H285" s="735"/>
      <c r="I285" s="735"/>
    </row>
    <row r="286" spans="1:9" ht="13.5">
      <c r="A286" s="661"/>
      <c r="B286" s="320"/>
      <c r="C286" s="662"/>
      <c r="D286" s="662"/>
      <c r="E286" s="662"/>
      <c r="F286" s="663"/>
      <c r="G286" s="663"/>
      <c r="H286" s="735"/>
      <c r="I286" s="735"/>
    </row>
    <row r="287" spans="1:9" ht="13.5">
      <c r="A287" s="661"/>
      <c r="B287" s="320"/>
      <c r="C287" s="662"/>
      <c r="D287" s="662"/>
      <c r="E287" s="662"/>
      <c r="F287" s="663"/>
      <c r="G287" s="663"/>
      <c r="H287" s="735"/>
      <c r="I287" s="735"/>
    </row>
    <row r="288" spans="1:9" ht="13.5">
      <c r="A288" s="661"/>
      <c r="B288" s="320"/>
      <c r="C288" s="662"/>
      <c r="D288" s="662"/>
      <c r="E288" s="662"/>
      <c r="F288" s="663"/>
      <c r="G288" s="663"/>
      <c r="H288" s="735"/>
      <c r="I288" s="735"/>
    </row>
    <row r="289" spans="1:9" ht="13.5">
      <c r="A289" s="661"/>
      <c r="B289" s="320"/>
      <c r="C289" s="662"/>
      <c r="D289" s="662"/>
      <c r="E289" s="662"/>
      <c r="F289" s="663"/>
      <c r="G289" s="663"/>
      <c r="H289" s="735"/>
      <c r="I289" s="735"/>
    </row>
    <row r="290" spans="1:9" ht="13.5">
      <c r="A290" s="661"/>
      <c r="B290" s="320"/>
      <c r="C290" s="662"/>
      <c r="D290" s="662"/>
      <c r="E290" s="662"/>
      <c r="F290" s="663"/>
      <c r="G290" s="663"/>
      <c r="H290" s="735"/>
      <c r="I290" s="735"/>
    </row>
    <row r="291" spans="1:9" ht="13.5">
      <c r="A291" s="661"/>
      <c r="B291" s="320"/>
      <c r="C291" s="662"/>
      <c r="D291" s="662"/>
      <c r="E291" s="662"/>
      <c r="F291" s="663"/>
      <c r="G291" s="663"/>
      <c r="H291" s="735"/>
      <c r="I291" s="735"/>
    </row>
    <row r="292" spans="1:9" ht="13.5">
      <c r="A292" s="661"/>
      <c r="B292" s="320"/>
      <c r="C292" s="662"/>
      <c r="D292" s="662"/>
      <c r="E292" s="662"/>
      <c r="F292" s="663"/>
      <c r="G292" s="663"/>
      <c r="H292" s="735"/>
      <c r="I292" s="735"/>
    </row>
    <row r="293" spans="1:9" ht="13.5">
      <c r="A293" s="661"/>
      <c r="B293" s="320"/>
      <c r="C293" s="662"/>
      <c r="D293" s="662"/>
      <c r="E293" s="662"/>
      <c r="F293" s="663"/>
      <c r="G293" s="663"/>
      <c r="H293" s="735"/>
      <c r="I293" s="735"/>
    </row>
    <row r="294" spans="1:9" ht="13.5">
      <c r="A294" s="661"/>
      <c r="B294" s="320"/>
      <c r="C294" s="662"/>
      <c r="D294" s="662"/>
      <c r="E294" s="662"/>
      <c r="F294" s="663"/>
      <c r="G294" s="663"/>
      <c r="H294" s="735"/>
      <c r="I294" s="735"/>
    </row>
    <row r="295" spans="1:9" ht="13.5">
      <c r="A295" s="661"/>
      <c r="B295" s="320"/>
      <c r="C295" s="662"/>
      <c r="D295" s="662"/>
      <c r="E295" s="662"/>
      <c r="F295" s="663"/>
      <c r="G295" s="663"/>
      <c r="H295" s="735"/>
      <c r="I295" s="735"/>
    </row>
    <row r="296" spans="1:9" ht="13.5">
      <c r="A296" s="661"/>
      <c r="B296" s="320"/>
      <c r="C296" s="662"/>
      <c r="D296" s="662"/>
      <c r="E296" s="662"/>
      <c r="F296" s="663"/>
      <c r="G296" s="663"/>
      <c r="H296" s="735"/>
      <c r="I296" s="735"/>
    </row>
    <row r="297" spans="1:9" ht="13.5">
      <c r="A297" s="661"/>
      <c r="B297" s="320"/>
      <c r="C297" s="662"/>
      <c r="D297" s="662"/>
      <c r="E297" s="662"/>
      <c r="F297" s="663"/>
      <c r="G297" s="663"/>
      <c r="H297" s="735"/>
      <c r="I297" s="735"/>
    </row>
    <row r="298" spans="1:9" ht="13.5">
      <c r="A298" s="661"/>
      <c r="B298" s="320"/>
      <c r="C298" s="662"/>
      <c r="D298" s="662"/>
      <c r="E298" s="662"/>
      <c r="F298" s="663"/>
      <c r="G298" s="663"/>
      <c r="H298" s="735"/>
      <c r="I298" s="735"/>
    </row>
    <row r="299" spans="1:9" ht="13.5">
      <c r="A299" s="661"/>
      <c r="B299" s="320"/>
      <c r="C299" s="662"/>
      <c r="D299" s="662"/>
      <c r="E299" s="662"/>
      <c r="F299" s="663"/>
      <c r="G299" s="663"/>
      <c r="H299" s="735"/>
      <c r="I299" s="735"/>
    </row>
    <row r="300" spans="1:9" ht="13.5">
      <c r="A300" s="661"/>
      <c r="B300" s="320"/>
      <c r="C300" s="662"/>
      <c r="D300" s="662"/>
      <c r="E300" s="662"/>
      <c r="F300" s="663"/>
      <c r="G300" s="663"/>
      <c r="H300" s="735"/>
      <c r="I300" s="735"/>
    </row>
    <row r="301" spans="1:9" ht="13.5">
      <c r="A301" s="661"/>
      <c r="B301" s="320"/>
      <c r="C301" s="662"/>
      <c r="D301" s="662"/>
      <c r="E301" s="662"/>
      <c r="F301" s="663"/>
      <c r="G301" s="663"/>
      <c r="H301" s="735"/>
      <c r="I301" s="735"/>
    </row>
    <row r="302" spans="1:9" ht="13.5">
      <c r="A302" s="661"/>
      <c r="B302" s="320"/>
      <c r="C302" s="662"/>
      <c r="D302" s="662"/>
      <c r="E302" s="662"/>
      <c r="F302" s="663"/>
      <c r="G302" s="663"/>
      <c r="H302" s="735"/>
      <c r="I302" s="735"/>
    </row>
    <row r="303" spans="1:9" ht="13.5">
      <c r="A303" s="661"/>
      <c r="B303" s="320"/>
      <c r="C303" s="662"/>
      <c r="D303" s="662"/>
      <c r="E303" s="662"/>
      <c r="F303" s="663"/>
      <c r="G303" s="663"/>
      <c r="H303" s="735"/>
      <c r="I303" s="735"/>
    </row>
    <row r="304" spans="1:9" ht="13.5">
      <c r="A304" s="661"/>
      <c r="B304" s="320"/>
      <c r="C304" s="662"/>
      <c r="D304" s="662"/>
      <c r="E304" s="662"/>
      <c r="F304" s="663"/>
      <c r="G304" s="663"/>
      <c r="H304" s="735"/>
      <c r="I304" s="735"/>
    </row>
    <row r="305" spans="1:9" ht="13.5">
      <c r="A305" s="661"/>
      <c r="B305" s="320"/>
      <c r="C305" s="662"/>
      <c r="D305" s="662"/>
      <c r="E305" s="662"/>
      <c r="F305" s="663"/>
      <c r="G305" s="663"/>
      <c r="H305" s="735"/>
      <c r="I305" s="735"/>
    </row>
    <row r="306" spans="1:9" ht="13.5">
      <c r="A306" s="661"/>
      <c r="B306" s="320"/>
      <c r="C306" s="662"/>
      <c r="D306" s="662"/>
      <c r="E306" s="662"/>
      <c r="F306" s="663"/>
      <c r="G306" s="663"/>
      <c r="H306" s="735"/>
      <c r="I306" s="735"/>
    </row>
    <row r="307" spans="1:9" ht="13.5">
      <c r="A307" s="661"/>
      <c r="B307" s="320"/>
      <c r="C307" s="662"/>
      <c r="D307" s="662"/>
      <c r="E307" s="662"/>
      <c r="F307" s="663"/>
      <c r="G307" s="663"/>
      <c r="H307" s="735"/>
      <c r="I307" s="735"/>
    </row>
    <row r="308" spans="1:9" ht="13.5">
      <c r="A308" s="661"/>
      <c r="B308" s="320"/>
      <c r="C308" s="662"/>
      <c r="D308" s="662"/>
      <c r="E308" s="662"/>
      <c r="F308" s="663"/>
      <c r="G308" s="663"/>
      <c r="H308" s="735"/>
      <c r="I308" s="735"/>
    </row>
    <row r="309" spans="1:9" ht="13.5">
      <c r="A309" s="661"/>
      <c r="B309" s="320"/>
      <c r="C309" s="662"/>
      <c r="D309" s="662"/>
      <c r="E309" s="662"/>
      <c r="F309" s="663"/>
      <c r="G309" s="663"/>
      <c r="H309" s="735"/>
      <c r="I309" s="735"/>
    </row>
    <row r="310" spans="1:9" ht="13.5">
      <c r="A310" s="661"/>
      <c r="B310" s="320"/>
      <c r="C310" s="662"/>
      <c r="D310" s="662"/>
      <c r="E310" s="662"/>
      <c r="F310" s="663"/>
      <c r="G310" s="663"/>
      <c r="H310" s="735"/>
      <c r="I310" s="735"/>
    </row>
    <row r="311" spans="1:9" ht="13.5">
      <c r="A311" s="661"/>
      <c r="B311" s="320"/>
      <c r="C311" s="662"/>
      <c r="D311" s="662"/>
      <c r="E311" s="662"/>
      <c r="F311" s="663"/>
      <c r="G311" s="663"/>
      <c r="H311" s="735"/>
      <c r="I311" s="735"/>
    </row>
    <row r="312" spans="1:9" ht="13.5">
      <c r="A312" s="661"/>
      <c r="B312" s="320"/>
      <c r="C312" s="662"/>
      <c r="D312" s="662"/>
      <c r="E312" s="662"/>
      <c r="F312" s="663"/>
      <c r="G312" s="663"/>
      <c r="H312" s="735"/>
      <c r="I312" s="735"/>
    </row>
    <row r="313" spans="1:9" ht="13.5">
      <c r="A313" s="661"/>
      <c r="B313" s="320"/>
      <c r="C313" s="662"/>
      <c r="D313" s="662"/>
      <c r="E313" s="662"/>
      <c r="F313" s="663"/>
      <c r="G313" s="663"/>
      <c r="H313" s="735"/>
      <c r="I313" s="735"/>
    </row>
    <row r="314" spans="1:9" ht="13.5">
      <c r="A314" s="661"/>
      <c r="B314" s="320"/>
      <c r="C314" s="662"/>
      <c r="D314" s="662"/>
      <c r="E314" s="662"/>
      <c r="F314" s="663"/>
      <c r="G314" s="663"/>
      <c r="H314" s="735"/>
      <c r="I314" s="735"/>
    </row>
    <row r="315" spans="1:9" ht="13.5">
      <c r="A315" s="661"/>
      <c r="B315" s="320"/>
      <c r="C315" s="662"/>
      <c r="D315" s="662"/>
      <c r="E315" s="662"/>
      <c r="F315" s="663"/>
      <c r="G315" s="663"/>
      <c r="H315" s="735"/>
      <c r="I315" s="735"/>
    </row>
    <row r="316" spans="1:9" ht="13.5">
      <c r="A316" s="661"/>
      <c r="B316" s="320"/>
      <c r="C316" s="662"/>
      <c r="D316" s="662"/>
      <c r="E316" s="662"/>
      <c r="F316" s="663"/>
      <c r="G316" s="663"/>
      <c r="H316" s="735"/>
      <c r="I316" s="735"/>
    </row>
    <row r="317" spans="1:9" ht="13.5">
      <c r="A317" s="661"/>
      <c r="B317" s="320"/>
      <c r="C317" s="662"/>
      <c r="D317" s="662"/>
      <c r="E317" s="662"/>
      <c r="F317" s="663"/>
      <c r="G317" s="663"/>
      <c r="H317" s="735"/>
      <c r="I317" s="735"/>
    </row>
    <row r="318" spans="1:9" ht="13.5">
      <c r="A318" s="661"/>
      <c r="B318" s="320"/>
      <c r="C318" s="662"/>
      <c r="D318" s="662"/>
      <c r="E318" s="662"/>
      <c r="F318" s="663"/>
      <c r="G318" s="663"/>
      <c r="H318" s="735"/>
      <c r="I318" s="735"/>
    </row>
    <row r="319" spans="1:9" ht="13.5">
      <c r="A319" s="661"/>
      <c r="B319" s="320"/>
      <c r="C319" s="662"/>
      <c r="D319" s="662"/>
      <c r="E319" s="662"/>
      <c r="F319" s="663"/>
      <c r="G319" s="663"/>
      <c r="H319" s="735"/>
      <c r="I319" s="735"/>
    </row>
    <row r="320" spans="1:9" ht="13.5">
      <c r="A320" s="661"/>
      <c r="B320" s="320"/>
      <c r="C320" s="662"/>
      <c r="D320" s="662"/>
      <c r="E320" s="662"/>
      <c r="F320" s="663"/>
      <c r="G320" s="663"/>
      <c r="H320" s="735"/>
      <c r="I320" s="735"/>
    </row>
    <row r="321" spans="1:9" ht="13.5">
      <c r="A321" s="661"/>
      <c r="B321" s="320"/>
      <c r="C321" s="662"/>
      <c r="D321" s="662"/>
      <c r="E321" s="662"/>
      <c r="F321" s="663"/>
      <c r="G321" s="663"/>
      <c r="H321" s="735"/>
      <c r="I321" s="735"/>
    </row>
    <row r="322" spans="1:9" ht="13.5">
      <c r="A322" s="661"/>
      <c r="B322" s="320"/>
      <c r="C322" s="662"/>
      <c r="D322" s="662"/>
      <c r="E322" s="662"/>
      <c r="F322" s="663"/>
      <c r="G322" s="663"/>
      <c r="H322" s="735"/>
      <c r="I322" s="735"/>
    </row>
    <row r="323" spans="1:9" ht="13.5">
      <c r="A323" s="661"/>
      <c r="B323" s="320"/>
      <c r="C323" s="662"/>
      <c r="D323" s="662"/>
      <c r="E323" s="662"/>
      <c r="F323" s="663"/>
      <c r="G323" s="663"/>
      <c r="H323" s="735"/>
      <c r="I323" s="735"/>
    </row>
    <row r="324" spans="1:9" ht="13.5">
      <c r="A324" s="661"/>
      <c r="B324" s="320"/>
      <c r="C324" s="662"/>
      <c r="D324" s="662"/>
      <c r="E324" s="662"/>
      <c r="F324" s="663"/>
      <c r="G324" s="663"/>
      <c r="H324" s="735"/>
      <c r="I324" s="735"/>
    </row>
    <row r="325" spans="1:9" ht="13.5">
      <c r="A325" s="661"/>
      <c r="B325" s="320"/>
      <c r="C325" s="662"/>
      <c r="D325" s="662"/>
      <c r="E325" s="662"/>
      <c r="F325" s="663"/>
      <c r="G325" s="663"/>
      <c r="H325" s="735"/>
      <c r="I325" s="735"/>
    </row>
    <row r="326" spans="1:9" ht="13.5">
      <c r="A326" s="661"/>
      <c r="B326" s="320"/>
      <c r="C326" s="662"/>
      <c r="D326" s="662"/>
      <c r="E326" s="662"/>
      <c r="F326" s="663"/>
      <c r="G326" s="663"/>
      <c r="H326" s="735"/>
      <c r="I326" s="735"/>
    </row>
    <row r="327" spans="1:9" ht="13.5">
      <c r="A327" s="661"/>
      <c r="B327" s="320"/>
      <c r="C327" s="662"/>
      <c r="D327" s="662"/>
      <c r="E327" s="662"/>
      <c r="F327" s="663"/>
      <c r="G327" s="663"/>
      <c r="H327" s="735"/>
      <c r="I327" s="735"/>
    </row>
    <row r="328" spans="1:9" ht="13.5">
      <c r="A328" s="661"/>
      <c r="B328" s="320"/>
      <c r="C328" s="662"/>
      <c r="D328" s="662"/>
      <c r="E328" s="662"/>
      <c r="F328" s="663"/>
      <c r="G328" s="663"/>
      <c r="H328" s="735"/>
      <c r="I328" s="735"/>
    </row>
    <row r="329" spans="1:9" ht="13.5">
      <c r="A329" s="661"/>
      <c r="B329" s="320"/>
      <c r="C329" s="662"/>
      <c r="D329" s="662"/>
      <c r="E329" s="662"/>
      <c r="F329" s="663"/>
      <c r="G329" s="663"/>
      <c r="H329" s="735"/>
      <c r="I329" s="735"/>
    </row>
    <row r="330" spans="1:9" ht="13.5">
      <c r="A330" s="661"/>
      <c r="B330" s="320"/>
      <c r="C330" s="662"/>
      <c r="D330" s="662"/>
      <c r="E330" s="662"/>
      <c r="F330" s="663"/>
      <c r="G330" s="663"/>
      <c r="H330" s="735"/>
      <c r="I330" s="735"/>
    </row>
    <row r="331" spans="1:9" ht="13.5">
      <c r="A331" s="661"/>
      <c r="B331" s="320"/>
      <c r="C331" s="662"/>
      <c r="D331" s="662"/>
      <c r="E331" s="662"/>
      <c r="F331" s="663"/>
      <c r="G331" s="663"/>
      <c r="H331" s="735"/>
      <c r="I331" s="735"/>
    </row>
    <row r="332" spans="1:9" ht="13.5">
      <c r="A332" s="661"/>
      <c r="B332" s="320"/>
      <c r="C332" s="662"/>
      <c r="D332" s="662"/>
      <c r="E332" s="662"/>
      <c r="F332" s="663"/>
      <c r="G332" s="663"/>
      <c r="H332" s="735"/>
      <c r="I332" s="735"/>
    </row>
    <row r="333" spans="1:9" ht="13.5">
      <c r="A333" s="661"/>
      <c r="B333" s="320"/>
      <c r="C333" s="662"/>
      <c r="D333" s="662"/>
      <c r="E333" s="662"/>
      <c r="F333" s="663"/>
      <c r="G333" s="663"/>
      <c r="H333" s="735"/>
      <c r="I333" s="735"/>
    </row>
    <row r="334" spans="1:9" ht="13.5">
      <c r="A334" s="661"/>
      <c r="B334" s="320"/>
      <c r="C334" s="662"/>
      <c r="D334" s="662"/>
      <c r="E334" s="662"/>
      <c r="F334" s="663"/>
      <c r="G334" s="663"/>
      <c r="H334" s="735"/>
      <c r="I334" s="735"/>
    </row>
    <row r="335" spans="1:9" ht="13.5">
      <c r="A335" s="661"/>
      <c r="B335" s="320"/>
      <c r="C335" s="662"/>
      <c r="D335" s="662"/>
      <c r="E335" s="662"/>
      <c r="F335" s="663"/>
      <c r="G335" s="663"/>
      <c r="H335" s="735"/>
      <c r="I335" s="735"/>
    </row>
    <row r="336" spans="1:9" ht="13.5">
      <c r="A336" s="661"/>
      <c r="B336" s="320"/>
      <c r="C336" s="662"/>
      <c r="D336" s="662"/>
      <c r="E336" s="662"/>
      <c r="F336" s="663"/>
      <c r="G336" s="663"/>
      <c r="H336" s="735"/>
      <c r="I336" s="735"/>
    </row>
    <row r="337" spans="1:9" ht="13.5">
      <c r="A337" s="661"/>
      <c r="B337" s="320"/>
      <c r="C337" s="662"/>
      <c r="D337" s="662"/>
      <c r="E337" s="662"/>
      <c r="F337" s="663"/>
      <c r="G337" s="663"/>
      <c r="H337" s="735"/>
      <c r="I337" s="735"/>
    </row>
    <row r="338" spans="1:9" ht="13.5">
      <c r="A338" s="661"/>
      <c r="B338" s="320"/>
      <c r="C338" s="662"/>
      <c r="D338" s="662"/>
      <c r="E338" s="662"/>
      <c r="F338" s="663"/>
      <c r="G338" s="663"/>
      <c r="H338" s="735"/>
      <c r="I338" s="735"/>
    </row>
    <row r="339" spans="1:9" ht="13.5">
      <c r="A339" s="661"/>
      <c r="B339" s="320"/>
      <c r="C339" s="662"/>
      <c r="D339" s="662"/>
      <c r="E339" s="662"/>
      <c r="F339" s="663"/>
      <c r="G339" s="663"/>
      <c r="H339" s="735"/>
      <c r="I339" s="735"/>
    </row>
    <row r="340" spans="1:9" ht="13.5">
      <c r="A340" s="661"/>
      <c r="B340" s="320"/>
      <c r="C340" s="662"/>
      <c r="D340" s="662"/>
      <c r="E340" s="662"/>
      <c r="F340" s="663"/>
      <c r="G340" s="663"/>
      <c r="H340" s="735"/>
      <c r="I340" s="735"/>
    </row>
    <row r="341" spans="1:9" ht="13.5">
      <c r="A341" s="661"/>
      <c r="B341" s="320"/>
      <c r="C341" s="662"/>
      <c r="D341" s="662"/>
      <c r="E341" s="662"/>
      <c r="F341" s="663"/>
      <c r="G341" s="663"/>
      <c r="H341" s="735"/>
      <c r="I341" s="735"/>
    </row>
    <row r="342" spans="1:9" ht="13.5">
      <c r="A342" s="661"/>
      <c r="B342" s="320"/>
      <c r="C342" s="662"/>
      <c r="D342" s="662"/>
      <c r="E342" s="662"/>
      <c r="F342" s="663"/>
      <c r="G342" s="663"/>
      <c r="H342" s="735"/>
      <c r="I342" s="735"/>
    </row>
    <row r="343" spans="1:9" ht="13.5">
      <c r="A343" s="661"/>
      <c r="B343" s="320"/>
      <c r="C343" s="662"/>
      <c r="D343" s="662"/>
      <c r="E343" s="662"/>
      <c r="F343" s="663"/>
      <c r="G343" s="663"/>
      <c r="H343" s="735"/>
      <c r="I343" s="735"/>
    </row>
    <row r="344" spans="1:9" ht="13.5">
      <c r="A344" s="661"/>
      <c r="B344" s="320"/>
      <c r="C344" s="662"/>
      <c r="D344" s="662"/>
      <c r="E344" s="662"/>
      <c r="F344" s="663"/>
      <c r="G344" s="663"/>
      <c r="H344" s="735"/>
      <c r="I344" s="735"/>
    </row>
    <row r="345" spans="1:9" ht="13.5">
      <c r="A345" s="661"/>
      <c r="B345" s="320"/>
      <c r="C345" s="662"/>
      <c r="D345" s="662"/>
      <c r="E345" s="662"/>
      <c r="F345" s="663"/>
      <c r="G345" s="663"/>
      <c r="H345" s="735"/>
      <c r="I345" s="735"/>
    </row>
    <row r="346" spans="1:9" ht="13.5">
      <c r="A346" s="661"/>
      <c r="B346" s="320"/>
      <c r="C346" s="662"/>
      <c r="D346" s="662"/>
      <c r="E346" s="662"/>
      <c r="F346" s="663"/>
      <c r="G346" s="663"/>
      <c r="H346" s="735"/>
      <c r="I346" s="735"/>
    </row>
    <row r="347" spans="1:9" ht="13.5">
      <c r="A347" s="661"/>
      <c r="B347" s="320"/>
      <c r="C347" s="662"/>
      <c r="D347" s="662"/>
      <c r="E347" s="662"/>
      <c r="F347" s="663"/>
      <c r="G347" s="663"/>
      <c r="H347" s="735"/>
      <c r="I347" s="735"/>
    </row>
    <row r="348" spans="1:9" ht="13.5">
      <c r="A348" s="661"/>
      <c r="B348" s="320"/>
      <c r="C348" s="662"/>
      <c r="D348" s="662"/>
      <c r="E348" s="662"/>
      <c r="F348" s="663"/>
      <c r="G348" s="663"/>
      <c r="H348" s="735"/>
      <c r="I348" s="735"/>
    </row>
    <row r="349" spans="1:9" ht="13.5">
      <c r="A349" s="661"/>
      <c r="B349" s="320"/>
      <c r="C349" s="662"/>
      <c r="D349" s="662"/>
      <c r="E349" s="662"/>
      <c r="F349" s="663"/>
      <c r="G349" s="663"/>
      <c r="H349" s="735"/>
      <c r="I349" s="735"/>
    </row>
    <row r="350" spans="1:9" ht="13.5">
      <c r="A350" s="661"/>
      <c r="B350" s="320"/>
      <c r="C350" s="662"/>
      <c r="D350" s="662"/>
      <c r="E350" s="662"/>
      <c r="F350" s="663"/>
      <c r="G350" s="663"/>
      <c r="H350" s="735"/>
      <c r="I350" s="735"/>
    </row>
    <row r="351" spans="1:9" ht="13.5">
      <c r="A351" s="661"/>
      <c r="B351" s="320"/>
      <c r="C351" s="662"/>
      <c r="D351" s="662"/>
      <c r="E351" s="662"/>
      <c r="F351" s="663"/>
      <c r="G351" s="663"/>
      <c r="H351" s="735"/>
      <c r="I351" s="735"/>
    </row>
    <row r="352" spans="1:9" ht="13.5">
      <c r="A352" s="661"/>
      <c r="B352" s="320"/>
      <c r="C352" s="662"/>
      <c r="D352" s="662"/>
      <c r="E352" s="662"/>
      <c r="F352" s="663"/>
      <c r="G352" s="663"/>
      <c r="H352" s="735"/>
      <c r="I352" s="735"/>
    </row>
    <row r="353" spans="1:9" ht="13.5">
      <c r="A353" s="661"/>
      <c r="B353" s="320"/>
      <c r="C353" s="662"/>
      <c r="D353" s="662"/>
      <c r="E353" s="662"/>
      <c r="F353" s="663"/>
      <c r="G353" s="663"/>
      <c r="H353" s="735"/>
      <c r="I353" s="735"/>
    </row>
    <row r="354" spans="1:9" ht="13.5">
      <c r="A354" s="661"/>
      <c r="B354" s="320"/>
      <c r="C354" s="662"/>
      <c r="D354" s="662"/>
      <c r="E354" s="662"/>
      <c r="F354" s="663"/>
      <c r="G354" s="663"/>
      <c r="H354" s="735"/>
      <c r="I354" s="735"/>
    </row>
    <row r="355" spans="1:9" ht="13.5">
      <c r="A355" s="661"/>
      <c r="B355" s="320"/>
      <c r="C355" s="662"/>
      <c r="D355" s="662"/>
      <c r="E355" s="662"/>
      <c r="F355" s="663"/>
      <c r="G355" s="663"/>
      <c r="H355" s="735"/>
      <c r="I355" s="735"/>
    </row>
    <row r="356" spans="1:9" ht="13.5">
      <c r="A356" s="661"/>
      <c r="B356" s="320"/>
      <c r="C356" s="662"/>
      <c r="D356" s="662"/>
      <c r="E356" s="662"/>
      <c r="F356" s="663"/>
      <c r="G356" s="663"/>
      <c r="H356" s="735"/>
      <c r="I356" s="735"/>
    </row>
    <row r="357" spans="1:9" ht="13.5">
      <c r="A357" s="661"/>
      <c r="B357" s="320"/>
      <c r="C357" s="662"/>
      <c r="D357" s="662"/>
      <c r="E357" s="662"/>
      <c r="F357" s="663"/>
      <c r="G357" s="663"/>
      <c r="H357" s="735"/>
      <c r="I357" s="735"/>
    </row>
    <row r="358" spans="1:9" ht="13.5">
      <c r="A358" s="661"/>
      <c r="B358" s="320"/>
      <c r="C358" s="662"/>
      <c r="D358" s="662"/>
      <c r="E358" s="662"/>
      <c r="F358" s="663"/>
      <c r="G358" s="663"/>
      <c r="H358" s="735"/>
      <c r="I358" s="735"/>
    </row>
    <row r="359" spans="1:9" ht="13.5">
      <c r="A359" s="661"/>
      <c r="B359" s="320"/>
      <c r="C359" s="662"/>
      <c r="D359" s="662"/>
      <c r="E359" s="662"/>
      <c r="F359" s="663"/>
      <c r="G359" s="663"/>
      <c r="H359" s="735"/>
      <c r="I359" s="735"/>
    </row>
    <row r="360" spans="1:9" ht="13.5">
      <c r="A360" s="661"/>
      <c r="B360" s="320"/>
      <c r="C360" s="662"/>
      <c r="D360" s="662"/>
      <c r="E360" s="662"/>
      <c r="F360" s="663"/>
      <c r="G360" s="663"/>
      <c r="H360" s="735"/>
      <c r="I360" s="735"/>
    </row>
    <row r="361" spans="1:9" ht="13.5">
      <c r="A361" s="661"/>
      <c r="B361" s="320"/>
      <c r="C361" s="662"/>
      <c r="D361" s="662"/>
      <c r="E361" s="662"/>
      <c r="F361" s="663"/>
      <c r="G361" s="663"/>
      <c r="H361" s="735"/>
      <c r="I361" s="735"/>
    </row>
    <row r="362" spans="1:9" ht="13.5">
      <c r="A362" s="661"/>
      <c r="B362" s="320"/>
      <c r="C362" s="662"/>
      <c r="D362" s="662"/>
      <c r="E362" s="662"/>
      <c r="F362" s="663"/>
      <c r="G362" s="663"/>
      <c r="H362" s="735"/>
      <c r="I362" s="735"/>
    </row>
    <row r="363" spans="1:9" ht="13.5">
      <c r="A363" s="661"/>
      <c r="B363" s="320"/>
      <c r="C363" s="662"/>
      <c r="D363" s="662"/>
      <c r="E363" s="662"/>
      <c r="F363" s="663"/>
      <c r="G363" s="663"/>
      <c r="H363" s="735"/>
      <c r="I363" s="735"/>
    </row>
    <row r="364" spans="1:9" ht="13.5">
      <c r="A364" s="661"/>
      <c r="B364" s="320"/>
      <c r="C364" s="662"/>
      <c r="D364" s="662"/>
      <c r="E364" s="662"/>
      <c r="F364" s="663"/>
      <c r="G364" s="663"/>
      <c r="H364" s="735"/>
      <c r="I364" s="735"/>
    </row>
    <row r="365" spans="1:9" ht="13.5">
      <c r="A365" s="661"/>
      <c r="B365" s="320"/>
      <c r="C365" s="662"/>
      <c r="D365" s="662"/>
      <c r="E365" s="662"/>
      <c r="F365" s="663"/>
      <c r="G365" s="663"/>
      <c r="H365" s="735"/>
      <c r="I365" s="735"/>
    </row>
    <row r="366" spans="1:9" ht="13.5">
      <c r="A366" s="661"/>
      <c r="B366" s="320"/>
      <c r="C366" s="662"/>
      <c r="D366" s="662"/>
      <c r="E366" s="662"/>
      <c r="F366" s="663"/>
      <c r="G366" s="663"/>
      <c r="H366" s="735"/>
      <c r="I366" s="735"/>
    </row>
    <row r="367" spans="1:9" ht="13.5">
      <c r="A367" s="661"/>
      <c r="B367" s="320"/>
      <c r="C367" s="662"/>
      <c r="D367" s="662"/>
      <c r="E367" s="662"/>
      <c r="F367" s="663"/>
      <c r="G367" s="663"/>
      <c r="H367" s="735"/>
      <c r="I367" s="735"/>
    </row>
    <row r="368" spans="1:9" ht="13.5">
      <c r="A368" s="661"/>
      <c r="B368" s="320"/>
      <c r="C368" s="662"/>
      <c r="D368" s="662"/>
      <c r="E368" s="662"/>
      <c r="F368" s="663"/>
      <c r="G368" s="663"/>
      <c r="H368" s="735"/>
      <c r="I368" s="735"/>
    </row>
    <row r="369" spans="1:9" ht="13.5">
      <c r="A369" s="661"/>
      <c r="B369" s="320"/>
      <c r="C369" s="662"/>
      <c r="D369" s="662"/>
      <c r="E369" s="662"/>
      <c r="F369" s="663"/>
      <c r="G369" s="663"/>
      <c r="H369" s="735"/>
      <c r="I369" s="735"/>
    </row>
    <row r="370" spans="1:9" ht="13.5">
      <c r="A370" s="661"/>
      <c r="B370" s="320"/>
      <c r="C370" s="662"/>
      <c r="D370" s="662"/>
      <c r="E370" s="662"/>
      <c r="F370" s="663"/>
      <c r="G370" s="663"/>
      <c r="H370" s="735"/>
      <c r="I370" s="735"/>
    </row>
    <row r="371" spans="1:9" ht="13.5">
      <c r="A371" s="661"/>
      <c r="B371" s="320"/>
      <c r="C371" s="662"/>
      <c r="D371" s="662"/>
      <c r="E371" s="662"/>
      <c r="F371" s="663"/>
      <c r="G371" s="663"/>
      <c r="H371" s="735"/>
      <c r="I371" s="735"/>
    </row>
    <row r="372" spans="1:9" ht="13.5">
      <c r="A372" s="661"/>
      <c r="B372" s="320"/>
      <c r="C372" s="662"/>
      <c r="D372" s="662"/>
      <c r="E372" s="662"/>
      <c r="F372" s="663"/>
      <c r="G372" s="663"/>
      <c r="H372" s="735"/>
      <c r="I372" s="735"/>
    </row>
    <row r="373" spans="1:9" ht="13.5">
      <c r="A373" s="661"/>
      <c r="B373" s="320"/>
      <c r="C373" s="662"/>
      <c r="D373" s="662"/>
      <c r="E373" s="662"/>
      <c r="F373" s="663"/>
      <c r="G373" s="663"/>
      <c r="H373" s="735"/>
      <c r="I373" s="735"/>
    </row>
    <row r="374" spans="1:9" ht="13.5">
      <c r="A374" s="661"/>
      <c r="B374" s="320"/>
      <c r="C374" s="662"/>
      <c r="D374" s="662"/>
      <c r="E374" s="662"/>
      <c r="F374" s="663"/>
      <c r="G374" s="663"/>
      <c r="H374" s="735"/>
      <c r="I374" s="735"/>
    </row>
    <row r="375" spans="1:9" ht="13.5">
      <c r="A375" s="661"/>
      <c r="B375" s="320"/>
      <c r="C375" s="662"/>
      <c r="D375" s="662"/>
      <c r="E375" s="662"/>
      <c r="F375" s="663"/>
      <c r="G375" s="663"/>
      <c r="H375" s="735"/>
      <c r="I375" s="735"/>
    </row>
    <row r="376" spans="1:9" ht="13.5">
      <c r="A376" s="661"/>
      <c r="B376" s="320"/>
      <c r="C376" s="662"/>
      <c r="D376" s="662"/>
      <c r="E376" s="662"/>
      <c r="F376" s="663"/>
      <c r="G376" s="663"/>
      <c r="H376" s="735"/>
      <c r="I376" s="735"/>
    </row>
    <row r="377" spans="1:9" ht="13.5">
      <c r="A377" s="661"/>
      <c r="B377" s="320"/>
      <c r="C377" s="662"/>
      <c r="D377" s="662"/>
      <c r="E377" s="662"/>
      <c r="F377" s="663"/>
      <c r="G377" s="663"/>
      <c r="H377" s="735"/>
      <c r="I377" s="735"/>
    </row>
    <row r="378" spans="1:9" ht="13.5">
      <c r="A378" s="661"/>
      <c r="B378" s="320"/>
      <c r="C378" s="662"/>
      <c r="D378" s="662"/>
      <c r="E378" s="662"/>
      <c r="F378" s="663"/>
      <c r="G378" s="663"/>
      <c r="H378" s="735"/>
      <c r="I378" s="735"/>
    </row>
    <row r="379" spans="1:9" ht="13.5">
      <c r="A379" s="661"/>
      <c r="B379" s="320"/>
      <c r="C379" s="662"/>
      <c r="D379" s="662"/>
      <c r="E379" s="662"/>
      <c r="F379" s="663"/>
      <c r="G379" s="663"/>
      <c r="H379" s="735"/>
      <c r="I379" s="735"/>
    </row>
    <row r="380" spans="1:9" ht="13.5">
      <c r="A380" s="661"/>
      <c r="B380" s="320"/>
      <c r="C380" s="662"/>
      <c r="D380" s="662"/>
      <c r="E380" s="662"/>
      <c r="F380" s="663"/>
      <c r="G380" s="663"/>
      <c r="H380" s="735"/>
      <c r="I380" s="735"/>
    </row>
    <row r="381" spans="1:9" ht="13.5">
      <c r="A381" s="661"/>
      <c r="B381" s="320"/>
      <c r="C381" s="662"/>
      <c r="D381" s="662"/>
      <c r="E381" s="662"/>
      <c r="F381" s="663"/>
      <c r="G381" s="663"/>
      <c r="H381" s="735"/>
      <c r="I381" s="735"/>
    </row>
    <row r="382" spans="1:9" ht="13.5">
      <c r="A382" s="661"/>
      <c r="B382" s="320"/>
      <c r="C382" s="662"/>
      <c r="D382" s="662"/>
      <c r="E382" s="662"/>
      <c r="F382" s="663"/>
      <c r="G382" s="663"/>
      <c r="H382" s="735"/>
      <c r="I382" s="735"/>
    </row>
    <row r="383" spans="1:9" ht="13.5">
      <c r="A383" s="661"/>
      <c r="B383" s="320"/>
      <c r="C383" s="662"/>
      <c r="D383" s="662"/>
      <c r="E383" s="662"/>
      <c r="F383" s="663"/>
      <c r="G383" s="663"/>
      <c r="H383" s="735"/>
      <c r="I383" s="735"/>
    </row>
    <row r="384" spans="1:9" ht="13.5">
      <c r="A384" s="661"/>
      <c r="B384" s="320"/>
      <c r="C384" s="662"/>
      <c r="D384" s="662"/>
      <c r="E384" s="662"/>
      <c r="F384" s="663"/>
      <c r="G384" s="663"/>
      <c r="H384" s="735"/>
      <c r="I384" s="735"/>
    </row>
    <row r="385" spans="1:9" ht="13.5">
      <c r="A385" s="661"/>
      <c r="B385" s="320"/>
      <c r="C385" s="662"/>
      <c r="D385" s="662"/>
      <c r="E385" s="662"/>
      <c r="F385" s="663"/>
      <c r="G385" s="663"/>
      <c r="H385" s="735"/>
      <c r="I385" s="735"/>
    </row>
    <row r="386" spans="1:9" ht="13.5">
      <c r="A386" s="661"/>
      <c r="B386" s="320"/>
      <c r="C386" s="662"/>
      <c r="D386" s="662"/>
      <c r="E386" s="662"/>
      <c r="F386" s="663"/>
      <c r="G386" s="663"/>
      <c r="H386" s="735"/>
      <c r="I386" s="735"/>
    </row>
    <row r="387" spans="1:9" ht="13.5">
      <c r="A387" s="661"/>
      <c r="B387" s="320"/>
      <c r="C387" s="662"/>
      <c r="D387" s="662"/>
      <c r="E387" s="662"/>
      <c r="F387" s="663"/>
      <c r="G387" s="663"/>
      <c r="H387" s="735"/>
      <c r="I387" s="735"/>
    </row>
    <row r="388" spans="1:9" ht="13.5">
      <c r="A388" s="661"/>
      <c r="B388" s="320"/>
      <c r="C388" s="662"/>
      <c r="D388" s="662"/>
      <c r="E388" s="662"/>
      <c r="F388" s="663"/>
      <c r="G388" s="663"/>
      <c r="H388" s="735"/>
      <c r="I388" s="735"/>
    </row>
    <row r="389" spans="1:9" ht="13.5">
      <c r="A389" s="661"/>
      <c r="B389" s="320"/>
      <c r="C389" s="662"/>
      <c r="D389" s="662"/>
      <c r="E389" s="662"/>
      <c r="F389" s="663"/>
      <c r="G389" s="663"/>
      <c r="H389" s="735"/>
      <c r="I389" s="735"/>
    </row>
    <row r="390" spans="1:9" ht="13.5">
      <c r="A390" s="661"/>
      <c r="B390" s="320"/>
      <c r="C390" s="662"/>
      <c r="D390" s="662"/>
      <c r="E390" s="662"/>
      <c r="F390" s="663"/>
      <c r="G390" s="663"/>
      <c r="H390" s="735"/>
      <c r="I390" s="735"/>
    </row>
    <row r="391" spans="1:9" ht="13.5">
      <c r="A391" s="661"/>
      <c r="B391" s="320"/>
      <c r="C391" s="662"/>
      <c r="D391" s="662"/>
      <c r="E391" s="662"/>
      <c r="F391" s="663"/>
      <c r="G391" s="663"/>
      <c r="H391" s="735"/>
      <c r="I391" s="735"/>
    </row>
    <row r="392" spans="1:9" ht="13.5">
      <c r="A392" s="661"/>
      <c r="B392" s="320"/>
      <c r="C392" s="662"/>
      <c r="D392" s="662"/>
      <c r="E392" s="662"/>
      <c r="F392" s="663"/>
      <c r="G392" s="663"/>
      <c r="H392" s="735"/>
      <c r="I392" s="735"/>
    </row>
    <row r="393" spans="1:9" ht="13.5">
      <c r="A393" s="661"/>
      <c r="B393" s="320"/>
      <c r="C393" s="662"/>
      <c r="D393" s="662"/>
      <c r="E393" s="662"/>
      <c r="F393" s="663"/>
      <c r="G393" s="663"/>
      <c r="H393" s="735"/>
      <c r="I393" s="735"/>
    </row>
    <row r="394" spans="1:9" ht="13.5">
      <c r="A394" s="661"/>
      <c r="B394" s="320"/>
      <c r="C394" s="662"/>
      <c r="D394" s="662"/>
      <c r="E394" s="662"/>
      <c r="F394" s="663"/>
      <c r="G394" s="663"/>
      <c r="H394" s="735"/>
      <c r="I394" s="735"/>
    </row>
    <row r="395" spans="1:9" ht="13.5">
      <c r="A395" s="661"/>
      <c r="B395" s="320"/>
      <c r="C395" s="662"/>
      <c r="D395" s="662"/>
      <c r="E395" s="662"/>
      <c r="F395" s="663"/>
      <c r="G395" s="663"/>
      <c r="H395" s="735"/>
      <c r="I395" s="735"/>
    </row>
    <row r="396" spans="1:9" ht="13.5">
      <c r="A396" s="661"/>
      <c r="B396" s="320"/>
      <c r="C396" s="662"/>
      <c r="D396" s="662"/>
      <c r="E396" s="662"/>
      <c r="F396" s="663"/>
      <c r="G396" s="663"/>
      <c r="H396" s="735"/>
      <c r="I396" s="735"/>
    </row>
    <row r="397" spans="1:9" ht="13.5">
      <c r="A397" s="661"/>
      <c r="B397" s="320"/>
      <c r="C397" s="662"/>
      <c r="D397" s="662"/>
      <c r="E397" s="662"/>
      <c r="F397" s="663"/>
      <c r="G397" s="663"/>
      <c r="H397" s="735"/>
      <c r="I397" s="735"/>
    </row>
    <row r="398" spans="1:9" ht="13.5">
      <c r="A398" s="661"/>
      <c r="B398" s="320"/>
      <c r="C398" s="662"/>
      <c r="D398" s="662"/>
      <c r="E398" s="662"/>
      <c r="F398" s="663"/>
      <c r="G398" s="663"/>
      <c r="H398" s="735"/>
      <c r="I398" s="735"/>
    </row>
    <row r="399" spans="1:9" ht="13.5">
      <c r="A399" s="661"/>
      <c r="B399" s="320"/>
      <c r="C399" s="662"/>
      <c r="D399" s="662"/>
      <c r="E399" s="662"/>
      <c r="F399" s="663"/>
      <c r="G399" s="663"/>
      <c r="H399" s="735"/>
      <c r="I399" s="735"/>
    </row>
    <row r="400" spans="1:9" ht="13.5">
      <c r="A400" s="661"/>
      <c r="B400" s="320"/>
      <c r="C400" s="662"/>
      <c r="D400" s="662"/>
      <c r="E400" s="662"/>
      <c r="F400" s="663"/>
      <c r="G400" s="663"/>
      <c r="H400" s="735"/>
      <c r="I400" s="735"/>
    </row>
    <row r="401" spans="1:9" ht="13.5">
      <c r="A401" s="661"/>
      <c r="B401" s="320"/>
      <c r="C401" s="662"/>
      <c r="D401" s="662"/>
      <c r="E401" s="662"/>
      <c r="F401" s="663"/>
      <c r="G401" s="663"/>
      <c r="H401" s="735"/>
      <c r="I401" s="735"/>
    </row>
    <row r="402" spans="1:9" ht="13.5">
      <c r="A402" s="661"/>
      <c r="B402" s="320"/>
      <c r="C402" s="662"/>
      <c r="D402" s="662"/>
      <c r="E402" s="662"/>
      <c r="F402" s="663"/>
      <c r="G402" s="663"/>
      <c r="H402" s="735"/>
      <c r="I402" s="735"/>
    </row>
    <row r="403" spans="1:9" ht="13.5">
      <c r="A403" s="661"/>
      <c r="B403" s="320"/>
      <c r="C403" s="662"/>
      <c r="D403" s="662"/>
      <c r="E403" s="662"/>
      <c r="F403" s="663"/>
      <c r="G403" s="663"/>
      <c r="H403" s="735"/>
      <c r="I403" s="735"/>
    </row>
    <row r="404" spans="1:9" ht="13.5">
      <c r="A404" s="661"/>
      <c r="B404" s="320"/>
      <c r="C404" s="662"/>
      <c r="D404" s="662"/>
      <c r="E404" s="662"/>
      <c r="F404" s="663"/>
      <c r="G404" s="663"/>
      <c r="H404" s="735"/>
      <c r="I404" s="735"/>
    </row>
    <row r="405" spans="1:9" ht="13.5">
      <c r="A405" s="661"/>
      <c r="B405" s="320"/>
      <c r="C405" s="662"/>
      <c r="D405" s="662"/>
      <c r="E405" s="662"/>
      <c r="F405" s="663"/>
      <c r="G405" s="663"/>
      <c r="H405" s="735"/>
      <c r="I405" s="735"/>
    </row>
    <row r="406" spans="1:9" ht="13.5">
      <c r="A406" s="661"/>
      <c r="B406" s="320"/>
      <c r="C406" s="662"/>
      <c r="D406" s="662"/>
      <c r="E406" s="662"/>
      <c r="F406" s="663"/>
      <c r="G406" s="663"/>
      <c r="H406" s="735"/>
      <c r="I406" s="735"/>
    </row>
    <row r="407" spans="1:9" ht="13.5">
      <c r="A407" s="661"/>
      <c r="B407" s="320"/>
      <c r="C407" s="662"/>
      <c r="D407" s="662"/>
      <c r="E407" s="662"/>
      <c r="F407" s="663"/>
      <c r="G407" s="663"/>
      <c r="H407" s="735"/>
      <c r="I407" s="735"/>
    </row>
  </sheetData>
  <mergeCells count="133">
    <mergeCell ref="H55:H56"/>
    <mergeCell ref="I55:I56"/>
    <mergeCell ref="J55:J56"/>
    <mergeCell ref="H27:H28"/>
    <mergeCell ref="I27:I28"/>
    <mergeCell ref="H34:H35"/>
    <mergeCell ref="I34:I35"/>
    <mergeCell ref="G33:J33"/>
    <mergeCell ref="G34:G35"/>
    <mergeCell ref="H41:H42"/>
    <mergeCell ref="J48:J49"/>
    <mergeCell ref="I6:I7"/>
    <mergeCell ref="H13:H14"/>
    <mergeCell ref="I13:I14"/>
    <mergeCell ref="H20:H21"/>
    <mergeCell ref="I20:I21"/>
    <mergeCell ref="B11:I11"/>
    <mergeCell ref="B5:B7"/>
    <mergeCell ref="H6:H7"/>
    <mergeCell ref="E12:E14"/>
    <mergeCell ref="G55:G56"/>
    <mergeCell ref="G13:G14"/>
    <mergeCell ref="G20:G21"/>
    <mergeCell ref="G27:G28"/>
    <mergeCell ref="G40:J40"/>
    <mergeCell ref="G47:J47"/>
    <mergeCell ref="G54:J54"/>
    <mergeCell ref="J34:J35"/>
    <mergeCell ref="I41:I42"/>
    <mergeCell ref="J41:J42"/>
    <mergeCell ref="G5:I5"/>
    <mergeCell ref="G6:G7"/>
    <mergeCell ref="G41:G42"/>
    <mergeCell ref="G48:G49"/>
    <mergeCell ref="H48:H49"/>
    <mergeCell ref="I48:I49"/>
    <mergeCell ref="E8:E9"/>
    <mergeCell ref="F8:F9"/>
    <mergeCell ref="A5:A7"/>
    <mergeCell ref="A8:A9"/>
    <mergeCell ref="B8:B9"/>
    <mergeCell ref="D5:D7"/>
    <mergeCell ref="E5:E7"/>
    <mergeCell ref="F5:F7"/>
    <mergeCell ref="C5:C7"/>
    <mergeCell ref="C8:C9"/>
    <mergeCell ref="H1:I1"/>
    <mergeCell ref="A2:I2"/>
    <mergeCell ref="A3:I3"/>
    <mergeCell ref="B4:I4"/>
    <mergeCell ref="D8:D9"/>
    <mergeCell ref="G12:I12"/>
    <mergeCell ref="A15:A16"/>
    <mergeCell ref="B15:B16"/>
    <mergeCell ref="C15:C16"/>
    <mergeCell ref="D15:D16"/>
    <mergeCell ref="A12:A14"/>
    <mergeCell ref="B12:B14"/>
    <mergeCell ref="C12:C14"/>
    <mergeCell ref="F12:F14"/>
    <mergeCell ref="A19:A21"/>
    <mergeCell ref="B19:B21"/>
    <mergeCell ref="C19:C21"/>
    <mergeCell ref="D19:D21"/>
    <mergeCell ref="D12:D14"/>
    <mergeCell ref="E22:E23"/>
    <mergeCell ref="E15:E16"/>
    <mergeCell ref="F15:F16"/>
    <mergeCell ref="B18:I18"/>
    <mergeCell ref="E19:E21"/>
    <mergeCell ref="F19:F21"/>
    <mergeCell ref="G19:I19"/>
    <mergeCell ref="A26:A28"/>
    <mergeCell ref="B26:B28"/>
    <mergeCell ref="C26:C28"/>
    <mergeCell ref="D26:D28"/>
    <mergeCell ref="D29:D30"/>
    <mergeCell ref="E29:E30"/>
    <mergeCell ref="F22:F23"/>
    <mergeCell ref="B25:I25"/>
    <mergeCell ref="E26:E28"/>
    <mergeCell ref="F26:F28"/>
    <mergeCell ref="G26:I26"/>
    <mergeCell ref="B22:B23"/>
    <mergeCell ref="C22:C23"/>
    <mergeCell ref="D22:D23"/>
    <mergeCell ref="F29:F30"/>
    <mergeCell ref="B32:I32"/>
    <mergeCell ref="A33:A35"/>
    <mergeCell ref="B33:B35"/>
    <mergeCell ref="C33:C35"/>
    <mergeCell ref="D33:D35"/>
    <mergeCell ref="E33:E35"/>
    <mergeCell ref="F33:F35"/>
    <mergeCell ref="B29:B30"/>
    <mergeCell ref="C29:C30"/>
    <mergeCell ref="F36:F37"/>
    <mergeCell ref="B39:I39"/>
    <mergeCell ref="A40:A42"/>
    <mergeCell ref="B40:B42"/>
    <mergeCell ref="C40:C42"/>
    <mergeCell ref="D40:D42"/>
    <mergeCell ref="E40:E42"/>
    <mergeCell ref="F40:F42"/>
    <mergeCell ref="A36:A37"/>
    <mergeCell ref="B36:B37"/>
    <mergeCell ref="B43:B44"/>
    <mergeCell ref="C43:C44"/>
    <mergeCell ref="D43:D44"/>
    <mergeCell ref="E36:E37"/>
    <mergeCell ref="C36:C37"/>
    <mergeCell ref="D36:D37"/>
    <mergeCell ref="E43:E44"/>
    <mergeCell ref="F50:F51"/>
    <mergeCell ref="F43:F44"/>
    <mergeCell ref="B46:I46"/>
    <mergeCell ref="A47:A49"/>
    <mergeCell ref="B47:B49"/>
    <mergeCell ref="C47:C49"/>
    <mergeCell ref="D47:D49"/>
    <mergeCell ref="E47:E49"/>
    <mergeCell ref="F47:F49"/>
    <mergeCell ref="A43:A44"/>
    <mergeCell ref="B53:I53"/>
    <mergeCell ref="F54:F56"/>
    <mergeCell ref="A50:A51"/>
    <mergeCell ref="B50:B51"/>
    <mergeCell ref="C50:C51"/>
    <mergeCell ref="D50:D51"/>
    <mergeCell ref="A54:A58"/>
    <mergeCell ref="B54:E58"/>
    <mergeCell ref="F57:F58"/>
    <mergeCell ref="E50:E51"/>
  </mergeCells>
  <printOptions/>
  <pageMargins left="0.54" right="0.28" top="0.69" bottom="0.52" header="0.5" footer="0.42"/>
  <pageSetup orientation="landscape" paperSize="9" r:id="rId1"/>
  <rowBreaks count="1" manualBreakCount="1">
    <brk id="31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H39" sqref="H39"/>
    </sheetView>
  </sheetViews>
  <sheetFormatPr defaultColWidth="9.00390625" defaultRowHeight="12.75"/>
  <cols>
    <col min="1" max="1" width="18.125" style="7" customWidth="1"/>
    <col min="2" max="2" width="14.125" style="144" customWidth="1"/>
    <col min="3" max="3" width="14.125" style="400" customWidth="1"/>
    <col min="4" max="4" width="12.625" style="144" customWidth="1"/>
    <col min="5" max="5" width="9.125" style="144" customWidth="1"/>
    <col min="6" max="6" width="12.25390625" style="400" customWidth="1"/>
    <col min="7" max="7" width="10.75390625" style="144" customWidth="1"/>
    <col min="8" max="8" width="11.875" style="400" customWidth="1"/>
    <col min="9" max="9" width="11.25390625" style="144" customWidth="1"/>
    <col min="10" max="14" width="9.125" style="144" customWidth="1"/>
    <col min="15" max="33" width="9.125" style="399" customWidth="1"/>
  </cols>
  <sheetData>
    <row r="1" spans="2:8" ht="12.75">
      <c r="B1" s="403" t="s">
        <v>494</v>
      </c>
      <c r="C1" s="404" t="s">
        <v>495</v>
      </c>
      <c r="D1" s="403" t="s">
        <v>497</v>
      </c>
      <c r="E1" s="872" t="s">
        <v>499</v>
      </c>
      <c r="F1" s="872"/>
      <c r="G1" s="872" t="s">
        <v>500</v>
      </c>
      <c r="H1" s="872"/>
    </row>
    <row r="2" spans="2:8" ht="12.75">
      <c r="B2" s="168" t="s">
        <v>503</v>
      </c>
      <c r="C2" s="405" t="s">
        <v>496</v>
      </c>
      <c r="D2" s="168" t="s">
        <v>498</v>
      </c>
      <c r="E2" s="168" t="s">
        <v>436</v>
      </c>
      <c r="F2" s="405" t="s">
        <v>501</v>
      </c>
      <c r="G2" s="168" t="s">
        <v>436</v>
      </c>
      <c r="H2" s="405" t="s">
        <v>501</v>
      </c>
    </row>
    <row r="3" spans="1:8" ht="12.75">
      <c r="A3" s="406" t="s">
        <v>471</v>
      </c>
      <c r="B3" s="401">
        <v>812.4</v>
      </c>
      <c r="C3" s="402">
        <v>0.6</v>
      </c>
      <c r="D3" s="401">
        <f>B3*C3</f>
        <v>487.44</v>
      </c>
      <c r="E3" s="401">
        <v>38.39</v>
      </c>
      <c r="F3" s="402">
        <f>D3*E3%</f>
        <v>187.13</v>
      </c>
      <c r="G3" s="401">
        <f>100-E3</f>
        <v>61.61</v>
      </c>
      <c r="H3" s="402">
        <f>D3*G3%</f>
        <v>300.31</v>
      </c>
    </row>
    <row r="4" spans="1:8" ht="12.75">
      <c r="A4" s="406" t="s">
        <v>472</v>
      </c>
      <c r="B4" s="401">
        <v>812.4</v>
      </c>
      <c r="C4" s="402">
        <v>1</v>
      </c>
      <c r="D4" s="401">
        <f aca="true" t="shared" si="0" ref="D4:D25">B4*C4</f>
        <v>812.4</v>
      </c>
      <c r="E4" s="401">
        <v>30.94</v>
      </c>
      <c r="F4" s="402">
        <f aca="true" t="shared" si="1" ref="F4:F25">D4*E4%</f>
        <v>251.36</v>
      </c>
      <c r="G4" s="401">
        <f aca="true" t="shared" si="2" ref="G4:G19">100-E4</f>
        <v>69.06</v>
      </c>
      <c r="H4" s="402">
        <f aca="true" t="shared" si="3" ref="H4:H25">D4*G4%</f>
        <v>561.04</v>
      </c>
    </row>
    <row r="5" spans="1:8" ht="12.75">
      <c r="A5" s="406" t="s">
        <v>473</v>
      </c>
      <c r="B5" s="401">
        <v>830.1</v>
      </c>
      <c r="C5" s="402">
        <v>1</v>
      </c>
      <c r="D5" s="401">
        <f t="shared" si="0"/>
        <v>830.1</v>
      </c>
      <c r="E5" s="401">
        <v>27.09</v>
      </c>
      <c r="F5" s="402">
        <f t="shared" si="1"/>
        <v>224.87</v>
      </c>
      <c r="G5" s="401">
        <f t="shared" si="2"/>
        <v>72.91</v>
      </c>
      <c r="H5" s="402">
        <f t="shared" si="3"/>
        <v>605.23</v>
      </c>
    </row>
    <row r="6" spans="1:8" ht="12.75">
      <c r="A6" s="406" t="s">
        <v>474</v>
      </c>
      <c r="B6" s="401">
        <v>762.13</v>
      </c>
      <c r="C6" s="402">
        <v>0.8</v>
      </c>
      <c r="D6" s="401">
        <f t="shared" si="0"/>
        <v>609.7</v>
      </c>
      <c r="E6" s="401">
        <v>14.49</v>
      </c>
      <c r="F6" s="402">
        <f t="shared" si="1"/>
        <v>88.35</v>
      </c>
      <c r="G6" s="401">
        <f t="shared" si="2"/>
        <v>85.51</v>
      </c>
      <c r="H6" s="402">
        <f t="shared" si="3"/>
        <v>521.35</v>
      </c>
    </row>
    <row r="7" spans="1:8" ht="12.75">
      <c r="A7" s="406" t="s">
        <v>475</v>
      </c>
      <c r="B7" s="401">
        <v>914.96</v>
      </c>
      <c r="C7" s="402">
        <v>1.08</v>
      </c>
      <c r="D7" s="401">
        <f t="shared" si="0"/>
        <v>988.16</v>
      </c>
      <c r="E7" s="401">
        <v>14.2</v>
      </c>
      <c r="F7" s="402">
        <f t="shared" si="1"/>
        <v>140.32</v>
      </c>
      <c r="G7" s="401">
        <f t="shared" si="2"/>
        <v>85.8</v>
      </c>
      <c r="H7" s="402">
        <f t="shared" si="3"/>
        <v>847.84</v>
      </c>
    </row>
    <row r="8" spans="1:8" ht="12.75">
      <c r="A8" s="406" t="s">
        <v>476</v>
      </c>
      <c r="B8" s="401">
        <v>937.8</v>
      </c>
      <c r="C8" s="402">
        <v>1</v>
      </c>
      <c r="D8" s="401">
        <f t="shared" si="0"/>
        <v>937.8</v>
      </c>
      <c r="E8" s="401">
        <v>34.43</v>
      </c>
      <c r="F8" s="402">
        <f t="shared" si="1"/>
        <v>322.88</v>
      </c>
      <c r="G8" s="401">
        <f t="shared" si="2"/>
        <v>65.57</v>
      </c>
      <c r="H8" s="402">
        <f t="shared" si="3"/>
        <v>614.92</v>
      </c>
    </row>
    <row r="9" spans="1:8" ht="12.75">
      <c r="A9" s="406" t="s">
        <v>477</v>
      </c>
      <c r="B9" s="401">
        <v>912.42</v>
      </c>
      <c r="C9" s="402">
        <v>0.8</v>
      </c>
      <c r="D9" s="401">
        <f t="shared" si="0"/>
        <v>729.94</v>
      </c>
      <c r="E9" s="401">
        <v>39.66</v>
      </c>
      <c r="F9" s="402">
        <f t="shared" si="1"/>
        <v>289.49</v>
      </c>
      <c r="G9" s="401">
        <f t="shared" si="2"/>
        <v>60.34</v>
      </c>
      <c r="H9" s="402">
        <f t="shared" si="3"/>
        <v>440.45</v>
      </c>
    </row>
    <row r="10" spans="1:8" ht="12.75">
      <c r="A10" s="406" t="s">
        <v>486</v>
      </c>
      <c r="B10" s="401">
        <v>1153.2</v>
      </c>
      <c r="C10" s="402">
        <v>0.75</v>
      </c>
      <c r="D10" s="401">
        <f t="shared" si="0"/>
        <v>864.9</v>
      </c>
      <c r="E10" s="401">
        <v>62.86</v>
      </c>
      <c r="F10" s="402">
        <f t="shared" si="1"/>
        <v>543.68</v>
      </c>
      <c r="G10" s="401">
        <f t="shared" si="2"/>
        <v>37.14</v>
      </c>
      <c r="H10" s="402">
        <f t="shared" si="3"/>
        <v>321.22</v>
      </c>
    </row>
    <row r="11" spans="1:8" ht="12.75">
      <c r="A11" s="406" t="s">
        <v>487</v>
      </c>
      <c r="B11" s="401">
        <v>394.6</v>
      </c>
      <c r="C11" s="402">
        <v>1</v>
      </c>
      <c r="D11" s="401">
        <f t="shared" si="0"/>
        <v>394.6</v>
      </c>
      <c r="E11" s="401">
        <v>55.3</v>
      </c>
      <c r="F11" s="402">
        <f t="shared" si="1"/>
        <v>218.21</v>
      </c>
      <c r="G11" s="401">
        <f t="shared" si="2"/>
        <v>44.7</v>
      </c>
      <c r="H11" s="402">
        <f t="shared" si="3"/>
        <v>176.39</v>
      </c>
    </row>
    <row r="12" spans="1:8" ht="12.75">
      <c r="A12" s="406" t="s">
        <v>478</v>
      </c>
      <c r="B12" s="401">
        <v>1066.17</v>
      </c>
      <c r="C12" s="402">
        <v>1.4</v>
      </c>
      <c r="D12" s="401">
        <f t="shared" si="0"/>
        <v>1492.64</v>
      </c>
      <c r="E12" s="401">
        <v>50.39</v>
      </c>
      <c r="F12" s="402">
        <f t="shared" si="1"/>
        <v>752.14</v>
      </c>
      <c r="G12" s="401">
        <f t="shared" si="2"/>
        <v>49.61</v>
      </c>
      <c r="H12" s="402">
        <f t="shared" si="3"/>
        <v>740.5</v>
      </c>
    </row>
    <row r="13" spans="1:8" ht="12.75">
      <c r="A13" s="406" t="s">
        <v>479</v>
      </c>
      <c r="B13" s="401">
        <v>1818.64</v>
      </c>
      <c r="C13" s="402">
        <v>1.5</v>
      </c>
      <c r="D13" s="401">
        <f t="shared" si="0"/>
        <v>2727.96</v>
      </c>
      <c r="E13" s="401">
        <v>69.59</v>
      </c>
      <c r="F13" s="402">
        <f t="shared" si="1"/>
        <v>1898.39</v>
      </c>
      <c r="G13" s="401">
        <f t="shared" si="2"/>
        <v>30.41</v>
      </c>
      <c r="H13" s="402">
        <f t="shared" si="3"/>
        <v>829.57</v>
      </c>
    </row>
    <row r="14" spans="1:8" ht="12.75">
      <c r="A14" s="406" t="s">
        <v>480</v>
      </c>
      <c r="B14" s="401">
        <v>1031.5</v>
      </c>
      <c r="C14" s="402">
        <v>1.7</v>
      </c>
      <c r="D14" s="401">
        <f t="shared" si="0"/>
        <v>1753.55</v>
      </c>
      <c r="E14" s="401">
        <v>58.7</v>
      </c>
      <c r="F14" s="402">
        <f t="shared" si="1"/>
        <v>1029.33</v>
      </c>
      <c r="G14" s="401">
        <f t="shared" si="2"/>
        <v>41.3</v>
      </c>
      <c r="H14" s="402">
        <f t="shared" si="3"/>
        <v>724.22</v>
      </c>
    </row>
    <row r="15" spans="1:8" ht="12.75">
      <c r="A15" s="406" t="s">
        <v>481</v>
      </c>
      <c r="B15" s="401">
        <v>1052.92</v>
      </c>
      <c r="C15" s="402">
        <v>0</v>
      </c>
      <c r="D15" s="401">
        <f t="shared" si="0"/>
        <v>0</v>
      </c>
      <c r="E15" s="401">
        <v>0</v>
      </c>
      <c r="F15" s="402">
        <f t="shared" si="1"/>
        <v>0</v>
      </c>
      <c r="G15" s="401">
        <f t="shared" si="2"/>
        <v>100</v>
      </c>
      <c r="H15" s="402">
        <f t="shared" si="3"/>
        <v>0</v>
      </c>
    </row>
    <row r="16" spans="1:8" ht="12.75">
      <c r="A16" s="406" t="s">
        <v>482</v>
      </c>
      <c r="B16" s="401">
        <v>2377.91</v>
      </c>
      <c r="C16" s="402">
        <v>0.7</v>
      </c>
      <c r="D16" s="401">
        <f t="shared" si="0"/>
        <v>1664.54</v>
      </c>
      <c r="E16" s="401">
        <v>27.83</v>
      </c>
      <c r="F16" s="402">
        <f t="shared" si="1"/>
        <v>463.24</v>
      </c>
      <c r="G16" s="401">
        <f t="shared" si="2"/>
        <v>72.17</v>
      </c>
      <c r="H16" s="402">
        <f t="shared" si="3"/>
        <v>1201.3</v>
      </c>
    </row>
    <row r="17" spans="1:8" ht="12.75">
      <c r="A17" s="406" t="s">
        <v>483</v>
      </c>
      <c r="B17" s="401">
        <v>295.49</v>
      </c>
      <c r="C17" s="402">
        <v>0.5</v>
      </c>
      <c r="D17" s="401">
        <f t="shared" si="0"/>
        <v>147.75</v>
      </c>
      <c r="E17" s="401">
        <v>37.69</v>
      </c>
      <c r="F17" s="402">
        <f t="shared" si="1"/>
        <v>55.69</v>
      </c>
      <c r="G17" s="401">
        <f t="shared" si="2"/>
        <v>62.31</v>
      </c>
      <c r="H17" s="402">
        <f t="shared" si="3"/>
        <v>92.06</v>
      </c>
    </row>
    <row r="18" spans="1:8" ht="12.75">
      <c r="A18" s="406" t="s">
        <v>484</v>
      </c>
      <c r="B18" s="401">
        <v>209.79</v>
      </c>
      <c r="C18" s="402">
        <v>2</v>
      </c>
      <c r="D18" s="401">
        <f t="shared" si="0"/>
        <v>419.58</v>
      </c>
      <c r="E18" s="401">
        <v>51.12</v>
      </c>
      <c r="F18" s="402">
        <f t="shared" si="1"/>
        <v>214.49</v>
      </c>
      <c r="G18" s="401">
        <f t="shared" si="2"/>
        <v>48.88</v>
      </c>
      <c r="H18" s="402">
        <f t="shared" si="3"/>
        <v>205.09</v>
      </c>
    </row>
    <row r="19" spans="1:8" ht="12.75">
      <c r="A19" s="406" t="s">
        <v>485</v>
      </c>
      <c r="B19" s="401">
        <v>296.64</v>
      </c>
      <c r="C19" s="402"/>
      <c r="D19" s="401">
        <f t="shared" si="0"/>
        <v>0</v>
      </c>
      <c r="E19" s="401">
        <v>74.4</v>
      </c>
      <c r="F19" s="402">
        <f t="shared" si="1"/>
        <v>0</v>
      </c>
      <c r="G19" s="401">
        <f t="shared" si="2"/>
        <v>25.6</v>
      </c>
      <c r="H19" s="402">
        <f t="shared" si="3"/>
        <v>0</v>
      </c>
    </row>
    <row r="20" spans="1:8" ht="12.75">
      <c r="A20" s="406" t="s">
        <v>488</v>
      </c>
      <c r="B20" s="401"/>
      <c r="C20" s="402"/>
      <c r="D20" s="401">
        <f t="shared" si="0"/>
        <v>0</v>
      </c>
      <c r="E20" s="401"/>
      <c r="F20" s="402">
        <f t="shared" si="1"/>
        <v>0</v>
      </c>
      <c r="G20" s="401"/>
      <c r="H20" s="402">
        <f t="shared" si="3"/>
        <v>0</v>
      </c>
    </row>
    <row r="21" spans="1:8" ht="12.75">
      <c r="A21" s="406" t="s">
        <v>489</v>
      </c>
      <c r="B21" s="401"/>
      <c r="C21" s="402"/>
      <c r="D21" s="401">
        <f t="shared" si="0"/>
        <v>0</v>
      </c>
      <c r="E21" s="401"/>
      <c r="F21" s="402">
        <f t="shared" si="1"/>
        <v>0</v>
      </c>
      <c r="G21" s="401"/>
      <c r="H21" s="402">
        <f t="shared" si="3"/>
        <v>0</v>
      </c>
    </row>
    <row r="22" spans="1:8" ht="12.75">
      <c r="A22" s="406" t="s">
        <v>490</v>
      </c>
      <c r="B22" s="401"/>
      <c r="C22" s="402"/>
      <c r="D22" s="401">
        <f t="shared" si="0"/>
        <v>0</v>
      </c>
      <c r="E22" s="401"/>
      <c r="F22" s="402">
        <f t="shared" si="1"/>
        <v>0</v>
      </c>
      <c r="G22" s="401"/>
      <c r="H22" s="402">
        <f t="shared" si="3"/>
        <v>0</v>
      </c>
    </row>
    <row r="23" spans="1:8" ht="12.75">
      <c r="A23" s="406" t="s">
        <v>491</v>
      </c>
      <c r="B23" s="401"/>
      <c r="C23" s="402"/>
      <c r="D23" s="401">
        <f t="shared" si="0"/>
        <v>0</v>
      </c>
      <c r="E23" s="401"/>
      <c r="F23" s="402">
        <f t="shared" si="1"/>
        <v>0</v>
      </c>
      <c r="G23" s="401"/>
      <c r="H23" s="402">
        <f t="shared" si="3"/>
        <v>0</v>
      </c>
    </row>
    <row r="24" spans="1:8" ht="12.75">
      <c r="A24" s="406" t="s">
        <v>492</v>
      </c>
      <c r="B24" s="401"/>
      <c r="C24" s="402"/>
      <c r="D24" s="401">
        <f t="shared" si="0"/>
        <v>0</v>
      </c>
      <c r="E24" s="401"/>
      <c r="F24" s="402">
        <f t="shared" si="1"/>
        <v>0</v>
      </c>
      <c r="G24" s="401"/>
      <c r="H24" s="402">
        <f>D24*G24%</f>
        <v>0</v>
      </c>
    </row>
    <row r="25" spans="1:8" ht="12.75">
      <c r="A25" s="406" t="s">
        <v>493</v>
      </c>
      <c r="B25" s="401"/>
      <c r="C25" s="402"/>
      <c r="D25" s="401">
        <f t="shared" si="0"/>
        <v>0</v>
      </c>
      <c r="E25" s="401"/>
      <c r="F25" s="402">
        <f t="shared" si="1"/>
        <v>0</v>
      </c>
      <c r="G25" s="401"/>
      <c r="H25" s="402">
        <f t="shared" si="3"/>
        <v>0</v>
      </c>
    </row>
    <row r="26" spans="2:8" ht="12.75">
      <c r="B26" s="380">
        <f>SUM(B3:B25)</f>
        <v>15679.07</v>
      </c>
      <c r="C26" s="407">
        <f aca="true" t="shared" si="4" ref="C26:H26">SUM(C3:C25)</f>
        <v>15.83</v>
      </c>
      <c r="D26" s="380">
        <f t="shared" si="4"/>
        <v>14861.06</v>
      </c>
      <c r="E26" s="380">
        <f t="shared" si="4"/>
        <v>687.08</v>
      </c>
      <c r="F26" s="407">
        <f t="shared" si="4"/>
        <v>6679.57</v>
      </c>
      <c r="G26" s="380">
        <f t="shared" si="4"/>
        <v>1012.92</v>
      </c>
      <c r="H26" s="407">
        <f t="shared" si="4"/>
        <v>8181.49</v>
      </c>
    </row>
    <row r="27" spans="6:8" ht="12.75">
      <c r="F27" s="407">
        <f>F26*12</f>
        <v>80154.84</v>
      </c>
      <c r="H27" s="407">
        <f>H26*12</f>
        <v>98177.88</v>
      </c>
    </row>
    <row r="29" spans="2:5" ht="12.75">
      <c r="B29" s="171" t="str">
        <f>B1</f>
        <v>Powierzchnia </v>
      </c>
      <c r="C29" s="409" t="s">
        <v>499</v>
      </c>
      <c r="D29" s="144" t="s">
        <v>494</v>
      </c>
      <c r="E29" s="144" t="str">
        <f>C1</f>
        <v>Zaliczka </v>
      </c>
    </row>
    <row r="30" spans="2:5" ht="12.75">
      <c r="B30" s="171" t="str">
        <f aca="true" t="shared" si="5" ref="A30:B42">B2</f>
        <v>ogólna budynku</v>
      </c>
      <c r="C30" s="409" t="s">
        <v>502</v>
      </c>
      <c r="D30" s="144" t="s">
        <v>504</v>
      </c>
      <c r="E30" s="144" t="str">
        <f>C2</f>
        <v>za m2</v>
      </c>
    </row>
    <row r="31" spans="1:6" ht="12.75">
      <c r="A31" s="406" t="str">
        <f t="shared" si="5"/>
        <v>Plac Chopina 1</v>
      </c>
      <c r="B31" s="401">
        <f t="shared" si="5"/>
        <v>812.4</v>
      </c>
      <c r="C31" s="401">
        <f aca="true" t="shared" si="6" ref="C31:C42">E3</f>
        <v>38.39</v>
      </c>
      <c r="D31" s="401">
        <f>B31*C31%</f>
        <v>311.88</v>
      </c>
      <c r="E31" s="401">
        <f>C3</f>
        <v>0.6</v>
      </c>
      <c r="F31" s="402">
        <f>D31*E31</f>
        <v>187.13</v>
      </c>
    </row>
    <row r="32" spans="1:6" ht="12.75">
      <c r="A32" s="406" t="str">
        <f t="shared" si="5"/>
        <v>Plac Chopina 2</v>
      </c>
      <c r="B32" s="401">
        <f t="shared" si="5"/>
        <v>812.4</v>
      </c>
      <c r="C32" s="401">
        <f t="shared" si="6"/>
        <v>30.94</v>
      </c>
      <c r="D32" s="401">
        <f aca="true" t="shared" si="7" ref="D32:D45">B32*C32%</f>
        <v>251.36</v>
      </c>
      <c r="E32" s="401">
        <f aca="true" t="shared" si="8" ref="E32:E42">C4</f>
        <v>1</v>
      </c>
      <c r="F32" s="402">
        <f aca="true" t="shared" si="9" ref="F32:F45">D32*E32</f>
        <v>251.36</v>
      </c>
    </row>
    <row r="33" spans="1:6" ht="12.75">
      <c r="A33" s="406" t="str">
        <f t="shared" si="5"/>
        <v>Plac Chopina 3</v>
      </c>
      <c r="B33" s="401">
        <f t="shared" si="5"/>
        <v>830.1</v>
      </c>
      <c r="C33" s="401">
        <f t="shared" si="6"/>
        <v>27.09</v>
      </c>
      <c r="D33" s="401">
        <f t="shared" si="7"/>
        <v>224.87</v>
      </c>
      <c r="E33" s="401">
        <f t="shared" si="8"/>
        <v>1</v>
      </c>
      <c r="F33" s="402">
        <f t="shared" si="9"/>
        <v>224.87</v>
      </c>
    </row>
    <row r="34" spans="1:6" ht="12.75">
      <c r="A34" s="406" t="str">
        <f t="shared" si="5"/>
        <v>Plac Chopina 4</v>
      </c>
      <c r="B34" s="401">
        <f t="shared" si="5"/>
        <v>762.13</v>
      </c>
      <c r="C34" s="401">
        <f t="shared" si="6"/>
        <v>14.49</v>
      </c>
      <c r="D34" s="401">
        <f t="shared" si="7"/>
        <v>110.43</v>
      </c>
      <c r="E34" s="401">
        <f t="shared" si="8"/>
        <v>0.8</v>
      </c>
      <c r="F34" s="402">
        <f t="shared" si="9"/>
        <v>88.34</v>
      </c>
    </row>
    <row r="35" spans="1:6" ht="12.75">
      <c r="A35" s="406" t="str">
        <f t="shared" si="5"/>
        <v>Plac Chopina 5</v>
      </c>
      <c r="B35" s="401">
        <f t="shared" si="5"/>
        <v>914.96</v>
      </c>
      <c r="C35" s="401">
        <f t="shared" si="6"/>
        <v>14.2</v>
      </c>
      <c r="D35" s="401">
        <f t="shared" si="7"/>
        <v>129.92</v>
      </c>
      <c r="E35" s="401">
        <f t="shared" si="8"/>
        <v>1.08</v>
      </c>
      <c r="F35" s="402">
        <f t="shared" si="9"/>
        <v>140.31</v>
      </c>
    </row>
    <row r="36" spans="1:6" ht="12.75">
      <c r="A36" s="406" t="str">
        <f t="shared" si="5"/>
        <v>Plac Chopina 6</v>
      </c>
      <c r="B36" s="401">
        <f t="shared" si="5"/>
        <v>937.8</v>
      </c>
      <c r="C36" s="401">
        <f t="shared" si="6"/>
        <v>34.43</v>
      </c>
      <c r="D36" s="401">
        <f t="shared" si="7"/>
        <v>322.88</v>
      </c>
      <c r="E36" s="401">
        <f t="shared" si="8"/>
        <v>1</v>
      </c>
      <c r="F36" s="402">
        <f t="shared" si="9"/>
        <v>322.88</v>
      </c>
    </row>
    <row r="37" spans="1:6" ht="12.75">
      <c r="A37" s="406" t="str">
        <f t="shared" si="5"/>
        <v>Plac Chopina 7</v>
      </c>
      <c r="B37" s="401">
        <f t="shared" si="5"/>
        <v>912.42</v>
      </c>
      <c r="C37" s="401">
        <f t="shared" si="6"/>
        <v>39.66</v>
      </c>
      <c r="D37" s="401">
        <f t="shared" si="7"/>
        <v>361.87</v>
      </c>
      <c r="E37" s="401">
        <f t="shared" si="8"/>
        <v>0.8</v>
      </c>
      <c r="F37" s="402">
        <f t="shared" si="9"/>
        <v>289.5</v>
      </c>
    </row>
    <row r="38" spans="1:6" ht="12.75">
      <c r="A38" s="406" t="str">
        <f t="shared" si="5"/>
        <v>1-go Maja 16</v>
      </c>
      <c r="B38" s="401">
        <f t="shared" si="5"/>
        <v>1153.2</v>
      </c>
      <c r="C38" s="401">
        <f t="shared" si="6"/>
        <v>62.86</v>
      </c>
      <c r="D38" s="401">
        <f t="shared" si="7"/>
        <v>724.9</v>
      </c>
      <c r="E38" s="401">
        <f t="shared" si="8"/>
        <v>0.75</v>
      </c>
      <c r="F38" s="402">
        <f t="shared" si="9"/>
        <v>543.68</v>
      </c>
    </row>
    <row r="39" spans="1:6" ht="12.75">
      <c r="A39" s="406" t="str">
        <f t="shared" si="5"/>
        <v>1-go Maja 18</v>
      </c>
      <c r="B39" s="401">
        <f t="shared" si="5"/>
        <v>394.6</v>
      </c>
      <c r="C39" s="401">
        <f t="shared" si="6"/>
        <v>55.3</v>
      </c>
      <c r="D39" s="401">
        <f t="shared" si="7"/>
        <v>218.21</v>
      </c>
      <c r="E39" s="401">
        <f t="shared" si="8"/>
        <v>1</v>
      </c>
      <c r="F39" s="402">
        <f t="shared" si="9"/>
        <v>218.21</v>
      </c>
    </row>
    <row r="40" spans="1:6" ht="12.75">
      <c r="A40" s="406" t="str">
        <f t="shared" si="5"/>
        <v>Pionierska 6</v>
      </c>
      <c r="B40" s="401">
        <f t="shared" si="5"/>
        <v>1066.17</v>
      </c>
      <c r="C40" s="401">
        <f t="shared" si="6"/>
        <v>50.39</v>
      </c>
      <c r="D40" s="401">
        <f t="shared" si="7"/>
        <v>537.24</v>
      </c>
      <c r="E40" s="401">
        <f t="shared" si="8"/>
        <v>1.4</v>
      </c>
      <c r="F40" s="402">
        <f t="shared" si="9"/>
        <v>752.14</v>
      </c>
    </row>
    <row r="41" spans="1:6" ht="12.75">
      <c r="A41" s="406" t="str">
        <f t="shared" si="5"/>
        <v>Korczaka 4</v>
      </c>
      <c r="B41" s="401">
        <f t="shared" si="5"/>
        <v>1818.64</v>
      </c>
      <c r="C41" s="401">
        <f t="shared" si="6"/>
        <v>69.59</v>
      </c>
      <c r="D41" s="401">
        <f t="shared" si="7"/>
        <v>1265.59</v>
      </c>
      <c r="E41" s="401">
        <f t="shared" si="8"/>
        <v>1.5</v>
      </c>
      <c r="F41" s="402">
        <f t="shared" si="9"/>
        <v>1898.39</v>
      </c>
    </row>
    <row r="42" spans="1:6" ht="12.75">
      <c r="A42" s="406" t="str">
        <f t="shared" si="5"/>
        <v>Korczaka 5</v>
      </c>
      <c r="B42" s="401">
        <f t="shared" si="5"/>
        <v>1031.5</v>
      </c>
      <c r="C42" s="401">
        <f t="shared" si="6"/>
        <v>58.7</v>
      </c>
      <c r="D42" s="401">
        <f t="shared" si="7"/>
        <v>605.49</v>
      </c>
      <c r="E42" s="401">
        <f t="shared" si="8"/>
        <v>1.7</v>
      </c>
      <c r="F42" s="402">
        <f t="shared" si="9"/>
        <v>1029.33</v>
      </c>
    </row>
    <row r="43" spans="1:6" ht="12.75">
      <c r="A43" s="406" t="str">
        <f aca="true" t="shared" si="10" ref="A43:B45">A16</f>
        <v>Gombrowicza 39</v>
      </c>
      <c r="B43" s="401">
        <f t="shared" si="10"/>
        <v>2377.91</v>
      </c>
      <c r="C43" s="401">
        <f>E16</f>
        <v>27.83</v>
      </c>
      <c r="D43" s="401">
        <f t="shared" si="7"/>
        <v>661.77</v>
      </c>
      <c r="E43" s="401">
        <f>C16</f>
        <v>0.7</v>
      </c>
      <c r="F43" s="402">
        <f t="shared" si="9"/>
        <v>463.24</v>
      </c>
    </row>
    <row r="44" spans="1:6" ht="12.75">
      <c r="A44" s="406" t="str">
        <f t="shared" si="10"/>
        <v>Dwernickiego 4</v>
      </c>
      <c r="B44" s="401">
        <f t="shared" si="10"/>
        <v>295.49</v>
      </c>
      <c r="C44" s="401">
        <f>E17</f>
        <v>37.69</v>
      </c>
      <c r="D44" s="401">
        <f t="shared" si="7"/>
        <v>111.37</v>
      </c>
      <c r="E44" s="401">
        <f>C17</f>
        <v>0.5</v>
      </c>
      <c r="F44" s="402">
        <f t="shared" si="9"/>
        <v>55.69</v>
      </c>
    </row>
    <row r="45" spans="1:6" ht="12.75">
      <c r="A45" s="406" t="str">
        <f t="shared" si="10"/>
        <v>29-go Listopada 3</v>
      </c>
      <c r="B45" s="401">
        <f t="shared" si="10"/>
        <v>209.79</v>
      </c>
      <c r="C45" s="401">
        <f>E18</f>
        <v>51.12</v>
      </c>
      <c r="D45" s="401">
        <f t="shared" si="7"/>
        <v>107.24</v>
      </c>
      <c r="E45" s="401">
        <f>C18</f>
        <v>2</v>
      </c>
      <c r="F45" s="402">
        <f t="shared" si="9"/>
        <v>214.48</v>
      </c>
    </row>
    <row r="46" spans="4:6" ht="12.75">
      <c r="D46" s="407"/>
      <c r="E46" s="407"/>
      <c r="F46" s="407">
        <f>SUM(F31:F45)</f>
        <v>6679.55</v>
      </c>
    </row>
    <row r="48" ht="12.75">
      <c r="F48" s="400">
        <f>F46*12</f>
        <v>80154.6</v>
      </c>
    </row>
  </sheetData>
  <mergeCells count="2">
    <mergeCell ref="E1:F1"/>
    <mergeCell ref="G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B20" sqref="B20"/>
    </sheetView>
  </sheetViews>
  <sheetFormatPr defaultColWidth="9.00390625" defaultRowHeight="12.75"/>
  <cols>
    <col min="1" max="1" width="27.00390625" style="7" customWidth="1"/>
    <col min="2" max="2" width="19.625" style="3" customWidth="1"/>
    <col min="3" max="3" width="10.00390625" style="7" customWidth="1"/>
    <col min="4" max="4" width="15.875" style="7" customWidth="1"/>
    <col min="5" max="5" width="9.125" style="7" customWidth="1"/>
    <col min="6" max="6" width="13.375" style="7" customWidth="1"/>
    <col min="7" max="11" width="15.00390625" style="7" customWidth="1"/>
    <col min="12" max="16384" width="9.125" style="7" customWidth="1"/>
  </cols>
  <sheetData>
    <row r="1" spans="1:2" ht="12.75">
      <c r="A1" s="702" t="s">
        <v>655</v>
      </c>
      <c r="B1" s="703">
        <f>B2+B3</f>
        <v>35765592.94</v>
      </c>
    </row>
    <row r="2" spans="1:2" ht="12.75">
      <c r="A2" s="7" t="str">
        <f>Dochody!C5</f>
        <v>Dochody bieżące budżetu</v>
      </c>
      <c r="B2" s="704">
        <f>Dochody!D5</f>
        <v>31817741.34</v>
      </c>
    </row>
    <row r="3" spans="1:2" ht="12.75">
      <c r="A3" s="7" t="str">
        <f>Dochody!C55</f>
        <v>Dochody majątkowe budżetu</v>
      </c>
      <c r="B3" s="704">
        <f>Dochody!D55</f>
        <v>3947851.6</v>
      </c>
    </row>
    <row r="5" spans="2:9" ht="12.75">
      <c r="B5" s="3" t="s">
        <v>118</v>
      </c>
      <c r="C5" s="91" t="s">
        <v>436</v>
      </c>
      <c r="H5" s="316"/>
      <c r="I5" s="316"/>
    </row>
    <row r="6" spans="1:9" ht="12.75">
      <c r="A6" s="7" t="s">
        <v>310</v>
      </c>
      <c r="B6" s="139">
        <f>Dochody!D6</f>
        <v>6550000</v>
      </c>
      <c r="C6" s="144">
        <f>B6/42949786.94%</f>
        <v>15.25</v>
      </c>
      <c r="H6" s="316"/>
      <c r="I6" s="316"/>
    </row>
    <row r="7" spans="1:9" ht="12.75">
      <c r="A7" s="7" t="s">
        <v>656</v>
      </c>
      <c r="B7" s="139">
        <f>Dochody!D19</f>
        <v>5558363</v>
      </c>
      <c r="C7" s="144">
        <f aca="true" t="shared" si="0" ref="C7:C12">B7/42949786.94%</f>
        <v>12.94</v>
      </c>
      <c r="H7" s="316"/>
      <c r="I7" s="316"/>
    </row>
    <row r="8" spans="1:9" ht="12.75">
      <c r="A8" s="7" t="s">
        <v>657</v>
      </c>
      <c r="B8" s="139">
        <f>Dochody!D22</f>
        <v>350000</v>
      </c>
      <c r="C8" s="144">
        <f t="shared" si="0"/>
        <v>0.81</v>
      </c>
      <c r="H8" s="316"/>
      <c r="I8" s="316"/>
    </row>
    <row r="9" spans="1:8" ht="12.75">
      <c r="A9" s="705" t="s">
        <v>658</v>
      </c>
      <c r="B9" s="706">
        <f>Dochody!D23</f>
        <v>117832.34</v>
      </c>
      <c r="C9" s="144">
        <f t="shared" si="0"/>
        <v>0.27</v>
      </c>
      <c r="D9" s="753">
        <f>B9+B10</f>
        <v>18105873</v>
      </c>
      <c r="E9" s="753">
        <f>C9+C10</f>
        <v>42</v>
      </c>
      <c r="H9" s="316"/>
    </row>
    <row r="10" spans="1:5" ht="12.75">
      <c r="A10" s="705" t="s">
        <v>659</v>
      </c>
      <c r="B10" s="706">
        <f>Dochody!D33</f>
        <v>17988041</v>
      </c>
      <c r="C10" s="144">
        <f t="shared" si="0"/>
        <v>41.88</v>
      </c>
      <c r="D10" s="754"/>
      <c r="E10" s="754"/>
    </row>
    <row r="11" spans="1:3" ht="12.75">
      <c r="A11" s="7" t="s">
        <v>660</v>
      </c>
      <c r="B11" s="139">
        <f>Dochody!D37</f>
        <v>1253505</v>
      </c>
      <c r="C11" s="144">
        <f t="shared" si="0"/>
        <v>2.92</v>
      </c>
    </row>
    <row r="12" spans="1:3" ht="12.75">
      <c r="A12" s="7" t="str">
        <f>A3</f>
        <v>Dochody majątkowe budżetu</v>
      </c>
      <c r="B12" s="139">
        <f>B3</f>
        <v>3947851.6</v>
      </c>
      <c r="C12" s="144">
        <f t="shared" si="0"/>
        <v>9.19</v>
      </c>
    </row>
    <row r="13" spans="2:9" ht="12.75">
      <c r="B13" s="139"/>
      <c r="H13" s="144"/>
      <c r="I13" s="316"/>
    </row>
    <row r="14" spans="2:9" ht="12.75">
      <c r="B14" s="3" t="s">
        <v>118</v>
      </c>
      <c r="C14" s="91" t="s">
        <v>436</v>
      </c>
      <c r="D14" s="707" t="s">
        <v>672</v>
      </c>
      <c r="H14" s="144"/>
      <c r="I14" s="316"/>
    </row>
    <row r="15" spans="1:9" ht="12.75">
      <c r="A15" s="702" t="s">
        <v>661</v>
      </c>
      <c r="B15" s="703">
        <f>Wydatki!C273</f>
        <v>52202013.34</v>
      </c>
      <c r="C15" s="91" t="s">
        <v>436</v>
      </c>
      <c r="D15" s="707">
        <f>B1-B15</f>
        <v>-16436420.4</v>
      </c>
      <c r="H15" s="144"/>
      <c r="I15" s="316"/>
    </row>
    <row r="16" spans="1:8" ht="12.75">
      <c r="A16" s="316" t="str">
        <f>Wydatki!B283</f>
        <v>Wynagrodzenia</v>
      </c>
      <c r="B16" s="704">
        <f>Wydatki!C283</f>
        <v>15934739</v>
      </c>
      <c r="C16" s="708">
        <f>B16/52202013.34%</f>
        <v>31</v>
      </c>
      <c r="H16" s="316"/>
    </row>
    <row r="17" spans="1:3" ht="12.75">
      <c r="A17" s="316" t="str">
        <f>Wydatki!B284</f>
        <v>Wydatki bieżące</v>
      </c>
      <c r="B17" s="704">
        <f>Wydatki!C284</f>
        <v>19536592.34</v>
      </c>
      <c r="C17" s="708">
        <f>B17/52202013.34%</f>
        <v>37</v>
      </c>
    </row>
    <row r="18" spans="1:3" ht="12.75">
      <c r="A18" s="316" t="str">
        <f>Wydatki!B285</f>
        <v>Rezerwa</v>
      </c>
      <c r="B18" s="704">
        <f>Wydatki!C285</f>
        <v>135000</v>
      </c>
      <c r="C18" s="708">
        <f>B18/52202013.34%</f>
        <v>0</v>
      </c>
    </row>
    <row r="19" spans="1:3" ht="12.75">
      <c r="A19" s="316" t="str">
        <f>Wydatki!B286</f>
        <v>Obsługa długu</v>
      </c>
      <c r="B19" s="704">
        <f>Wydatki!C286</f>
        <v>420000</v>
      </c>
      <c r="C19" s="708">
        <f>B19/52202013.34%</f>
        <v>1</v>
      </c>
    </row>
    <row r="20" spans="1:3" ht="12.75">
      <c r="A20" s="316" t="str">
        <f>Wydatki!B287</f>
        <v>Wydatki majątkowe</v>
      </c>
      <c r="B20" s="704">
        <f>Wydatki!C287</f>
        <v>16175682</v>
      </c>
      <c r="C20" s="708">
        <f>B20/52202013.34%</f>
        <v>31</v>
      </c>
    </row>
    <row r="22" spans="2:3" ht="12.75">
      <c r="B22" s="3" t="s">
        <v>118</v>
      </c>
      <c r="C22" s="91" t="s">
        <v>436</v>
      </c>
    </row>
    <row r="23" spans="1:3" ht="12.75">
      <c r="A23" s="7" t="str">
        <f>Wydatki!B5</f>
        <v>Rolnictwo i łowiectwo</v>
      </c>
      <c r="B23" s="139">
        <f>Wydatki!C5</f>
        <v>6400</v>
      </c>
      <c r="C23" s="144">
        <f>B23/52202013.34%</f>
        <v>0.01</v>
      </c>
    </row>
    <row r="24" spans="1:3" ht="12.75">
      <c r="A24" s="7" t="str">
        <f>Wydatki!B8</f>
        <v>Leśnictwo</v>
      </c>
      <c r="B24" s="139">
        <f>Wydatki!C8</f>
        <v>46000</v>
      </c>
      <c r="C24" s="144">
        <f aca="true" t="shared" si="1" ref="C24:C43">B24/52202013.34%</f>
        <v>0.09</v>
      </c>
    </row>
    <row r="25" spans="1:3" ht="12.75">
      <c r="A25" s="705" t="str">
        <f>Wydatki!B13</f>
        <v>Wytwarzanie i zaopatryw w energię elekt, gaz, wodę</v>
      </c>
      <c r="B25" s="706">
        <f>Wydatki!C13</f>
        <v>1996924</v>
      </c>
      <c r="C25" s="144">
        <f t="shared" si="1"/>
        <v>3.83</v>
      </c>
    </row>
    <row r="26" spans="1:3" ht="12.75">
      <c r="A26" s="7" t="str">
        <f>Wydatki!B23</f>
        <v>Handel</v>
      </c>
      <c r="B26" s="139">
        <f>Wydatki!C23</f>
        <v>30000</v>
      </c>
      <c r="C26" s="144">
        <f t="shared" si="1"/>
        <v>0.06</v>
      </c>
    </row>
    <row r="27" spans="1:3" ht="12.75">
      <c r="A27" s="705" t="str">
        <f>Wydatki!B28</f>
        <v>Transport i łączność</v>
      </c>
      <c r="B27" s="706">
        <f>Wydatki!C28</f>
        <v>3485236</v>
      </c>
      <c r="C27" s="144">
        <f t="shared" si="1"/>
        <v>6.68</v>
      </c>
    </row>
    <row r="28" spans="1:3" ht="12.75">
      <c r="A28" s="7" t="str">
        <f>Wydatki!B56</f>
        <v>Turystyka</v>
      </c>
      <c r="B28" s="139">
        <f>Wydatki!C56</f>
        <v>507751</v>
      </c>
      <c r="C28" s="144">
        <f t="shared" si="1"/>
        <v>0.97</v>
      </c>
    </row>
    <row r="29" spans="1:3" ht="12.75">
      <c r="A29" s="705" t="str">
        <f>Wydatki!B65</f>
        <v>Gospodarka mieszkaniowa</v>
      </c>
      <c r="B29" s="706">
        <f>Wydatki!C65</f>
        <v>1151980</v>
      </c>
      <c r="C29" s="144">
        <f t="shared" si="1"/>
        <v>2.21</v>
      </c>
    </row>
    <row r="30" spans="1:3" ht="12.75">
      <c r="A30" s="7" t="str">
        <f>Wydatki!B78</f>
        <v>Działalność usługowa</v>
      </c>
      <c r="B30" s="139">
        <f>Wydatki!C78</f>
        <v>210000</v>
      </c>
      <c r="C30" s="144">
        <f t="shared" si="1"/>
        <v>0.4</v>
      </c>
    </row>
    <row r="31" spans="1:3" ht="12.75">
      <c r="A31" s="705" t="str">
        <f>Wydatki!B85</f>
        <v>Administracja publiczna</v>
      </c>
      <c r="B31" s="706">
        <f>Wydatki!C85</f>
        <v>3746945</v>
      </c>
      <c r="C31" s="144">
        <f t="shared" si="1"/>
        <v>7.18</v>
      </c>
    </row>
    <row r="32" spans="1:3" ht="12.75">
      <c r="A32" s="7" t="str">
        <f>Wydatki!B104</f>
        <v>Urzędy naczel.organów władzy pań., kontroli i ochrony pr. oraz sąd.</v>
      </c>
      <c r="B32" s="139">
        <f>Wydatki!C104</f>
        <v>2946</v>
      </c>
      <c r="C32" s="144">
        <f t="shared" si="1"/>
        <v>0.01</v>
      </c>
    </row>
    <row r="33" spans="1:3" ht="12.75">
      <c r="A33" s="7" t="str">
        <f>Wydatki!B109</f>
        <v>Bezpieczeństwo publiczne i ochrona przeciwpożar.</v>
      </c>
      <c r="B33" s="139">
        <f>Wydatki!C109</f>
        <v>126000</v>
      </c>
      <c r="C33" s="144">
        <f t="shared" si="1"/>
        <v>0.24</v>
      </c>
    </row>
    <row r="34" spans="1:3" ht="12.75">
      <c r="A34" s="7" t="str">
        <f>Wydatki!B116</f>
        <v>Dochody od osób pr,osób fiz i od inn.jedn.niepos.osob.pr oraz wydatki związane z ich poborem</v>
      </c>
      <c r="B34" s="139">
        <f>Wydatki!C116</f>
        <v>60000</v>
      </c>
      <c r="C34" s="144">
        <f t="shared" si="1"/>
        <v>0.11</v>
      </c>
    </row>
    <row r="35" spans="1:3" ht="12.75">
      <c r="A35" s="7" t="str">
        <f>Wydatki!B121</f>
        <v>Obsługa długu publicznego</v>
      </c>
      <c r="B35" s="139">
        <f>Wydatki!C121</f>
        <v>420000</v>
      </c>
      <c r="C35" s="144">
        <f t="shared" si="1"/>
        <v>0.8</v>
      </c>
    </row>
    <row r="36" spans="1:3" ht="12.75">
      <c r="A36" s="7" t="str">
        <f>Wydatki!B124</f>
        <v>Różne rozliczenia</v>
      </c>
      <c r="B36" s="139">
        <f>Wydatki!C124</f>
        <v>135000</v>
      </c>
      <c r="C36" s="144">
        <f t="shared" si="1"/>
        <v>0.26</v>
      </c>
    </row>
    <row r="37" spans="1:3" ht="12.75">
      <c r="A37" s="705" t="str">
        <f>Wydatki!B128</f>
        <v>Oświata i wychowanie</v>
      </c>
      <c r="B37" s="706">
        <f>Wydatki!C128</f>
        <v>20035411.34</v>
      </c>
      <c r="C37" s="144">
        <f t="shared" si="1"/>
        <v>38.38</v>
      </c>
    </row>
    <row r="38" spans="1:3" ht="12.75">
      <c r="A38" s="7" t="str">
        <f>Wydatki!B170</f>
        <v>0chrona zdrowia</v>
      </c>
      <c r="B38" s="139">
        <f>Wydatki!C170</f>
        <v>180000</v>
      </c>
      <c r="C38" s="144">
        <f t="shared" si="1"/>
        <v>0.34</v>
      </c>
    </row>
    <row r="39" spans="1:3" ht="12.75">
      <c r="A39" s="705" t="str">
        <f>Wydatki!B178</f>
        <v>Pomoc społeczna</v>
      </c>
      <c r="B39" s="706">
        <f>Wydatki!C178</f>
        <v>9313012</v>
      </c>
      <c r="C39" s="144">
        <f t="shared" si="1"/>
        <v>17.84</v>
      </c>
    </row>
    <row r="40" spans="1:3" ht="12.75">
      <c r="A40" s="7" t="str">
        <f>Wydatki!B207</f>
        <v>Edukacyjna opieka wychowawcza</v>
      </c>
      <c r="B40" s="139">
        <f>Wydatki!C207</f>
        <v>272492</v>
      </c>
      <c r="C40" s="144">
        <f t="shared" si="1"/>
        <v>0.52</v>
      </c>
    </row>
    <row r="41" spans="1:3" ht="12.75">
      <c r="A41" s="705" t="str">
        <f>Wydatki!B216</f>
        <v>Gospodarka komunalna i ochrona środowiska</v>
      </c>
      <c r="B41" s="706">
        <f>Wydatki!C216</f>
        <v>4102824</v>
      </c>
      <c r="C41" s="144">
        <f t="shared" si="1"/>
        <v>7.86</v>
      </c>
    </row>
    <row r="42" spans="1:3" ht="12.75">
      <c r="A42" s="7" t="str">
        <f>Wydatki!B254</f>
        <v>Kultura i ochrona dziedzictwa narodowego</v>
      </c>
      <c r="B42" s="139">
        <f>Wydatki!C254</f>
        <v>1794290</v>
      </c>
      <c r="C42" s="144">
        <f t="shared" si="1"/>
        <v>3.44</v>
      </c>
    </row>
    <row r="43" spans="1:3" ht="12.75">
      <c r="A43" s="705" t="str">
        <f>Wydatki!B265</f>
        <v>Kultura fizyczna i sport</v>
      </c>
      <c r="B43" s="706">
        <f>Wydatki!C265</f>
        <v>4578802</v>
      </c>
      <c r="C43" s="144">
        <f t="shared" si="1"/>
        <v>8.77</v>
      </c>
    </row>
    <row r="44" ht="12.75">
      <c r="B44" s="709"/>
    </row>
    <row r="45" spans="1:2" ht="12.75">
      <c r="A45" s="7" t="s">
        <v>662</v>
      </c>
      <c r="B45" s="139">
        <f>'Prognoza długu'!C25</f>
        <v>5736448</v>
      </c>
    </row>
    <row r="46" ht="12.75">
      <c r="B46" s="139">
        <v>-771193.77</v>
      </c>
    </row>
    <row r="47" ht="12.75">
      <c r="B47" s="709">
        <f>B45+B46</f>
        <v>4965254.23</v>
      </c>
    </row>
    <row r="48" spans="1:4" ht="12.75">
      <c r="A48" s="7" t="s">
        <v>663</v>
      </c>
      <c r="B48" s="139">
        <f>'Prognoza długu'!D25</f>
        <v>22172869</v>
      </c>
      <c r="C48" s="710">
        <f>B48/42909904.6%</f>
        <v>52</v>
      </c>
      <c r="D48" s="7" t="s">
        <v>436</v>
      </c>
    </row>
    <row r="49" spans="2:3" ht="12.75">
      <c r="B49" s="704">
        <f>B46</f>
        <v>-771193.77</v>
      </c>
      <c r="C49" s="710"/>
    </row>
    <row r="50" spans="2:4" ht="12.75">
      <c r="B50" s="709">
        <f>B48+B49</f>
        <v>21401675.23</v>
      </c>
      <c r="C50" s="710">
        <f>B50/42909904.6%</f>
        <v>50</v>
      </c>
      <c r="D50" s="7" t="s">
        <v>436</v>
      </c>
    </row>
  </sheetData>
  <mergeCells count="2">
    <mergeCell ref="D9:D10"/>
    <mergeCell ref="E9:E10"/>
  </mergeCells>
  <printOptions/>
  <pageMargins left="0.75" right="0.75" top="0.33" bottom="0.23" header="0.19" footer="0.18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="110" zoomScaleNormal="110" workbookViewId="0" topLeftCell="A1">
      <selection activeCell="K18" sqref="K18"/>
    </sheetView>
  </sheetViews>
  <sheetFormatPr defaultColWidth="9.00390625" defaultRowHeight="12.75"/>
  <cols>
    <col min="1" max="1" width="5.625" style="91" customWidth="1"/>
    <col min="2" max="2" width="24.375" style="325" customWidth="1"/>
    <col min="3" max="3" width="10.125" style="7" customWidth="1"/>
    <col min="4" max="11" width="9.875" style="7" customWidth="1"/>
    <col min="12" max="12" width="10.25390625" style="7" customWidth="1"/>
    <col min="13" max="16384" width="9.125" style="7" customWidth="1"/>
  </cols>
  <sheetData>
    <row r="1" spans="5:8" ht="13.5">
      <c r="E1" s="755" t="s">
        <v>392</v>
      </c>
      <c r="F1" s="755"/>
      <c r="G1" s="755"/>
      <c r="H1" s="755"/>
    </row>
    <row r="2" spans="1:7" ht="15.75">
      <c r="A2" s="756" t="s">
        <v>577</v>
      </c>
      <c r="B2" s="756"/>
      <c r="C2" s="756"/>
      <c r="D2" s="756"/>
      <c r="E2" s="756"/>
      <c r="F2" s="756"/>
      <c r="G2" s="756"/>
    </row>
    <row r="3" spans="1:11" ht="12.75">
      <c r="A3" s="748" t="s">
        <v>366</v>
      </c>
      <c r="B3" s="748"/>
      <c r="C3" s="748"/>
      <c r="D3" s="748"/>
      <c r="E3" s="748"/>
      <c r="F3" s="748"/>
      <c r="G3" s="748"/>
      <c r="H3" s="748"/>
      <c r="I3" s="748"/>
      <c r="J3" s="748"/>
      <c r="K3" s="748"/>
    </row>
    <row r="4" spans="1:11" ht="12.75">
      <c r="A4" s="757" t="s">
        <v>0</v>
      </c>
      <c r="B4" s="752" t="s">
        <v>94</v>
      </c>
      <c r="C4" s="744" t="s">
        <v>578</v>
      </c>
      <c r="D4" s="746"/>
      <c r="E4" s="746"/>
      <c r="F4" s="746"/>
      <c r="G4" s="746"/>
      <c r="H4" s="746"/>
      <c r="I4" s="746"/>
      <c r="J4" s="746"/>
      <c r="K4" s="747"/>
    </row>
    <row r="5" spans="1:11" ht="27" customHeight="1">
      <c r="A5" s="757"/>
      <c r="B5" s="752"/>
      <c r="C5" s="745"/>
      <c r="D5" s="324">
        <v>2009</v>
      </c>
      <c r="E5" s="324">
        <v>2010</v>
      </c>
      <c r="F5" s="324">
        <v>2011</v>
      </c>
      <c r="G5" s="324">
        <v>2012</v>
      </c>
      <c r="H5" s="324">
        <v>2013</v>
      </c>
      <c r="I5" s="324">
        <v>2014</v>
      </c>
      <c r="J5" s="324">
        <v>2015</v>
      </c>
      <c r="K5" s="324">
        <v>2016</v>
      </c>
    </row>
    <row r="6" spans="1:11" s="323" customFormat="1" ht="12.75">
      <c r="A6" s="322">
        <v>1</v>
      </c>
      <c r="B6" s="322">
        <v>2</v>
      </c>
      <c r="C6" s="322">
        <v>3</v>
      </c>
      <c r="D6" s="322">
        <v>6</v>
      </c>
      <c r="E6" s="322">
        <v>7</v>
      </c>
      <c r="F6" s="322">
        <v>8</v>
      </c>
      <c r="G6" s="322">
        <v>9</v>
      </c>
      <c r="H6" s="322">
        <v>10</v>
      </c>
      <c r="I6" s="322">
        <v>11</v>
      </c>
      <c r="J6" s="322">
        <v>12</v>
      </c>
      <c r="K6" s="322">
        <v>13</v>
      </c>
    </row>
    <row r="7" spans="1:11" ht="24.75" customHeight="1">
      <c r="A7" s="298" t="s">
        <v>125</v>
      </c>
      <c r="B7" s="326" t="s">
        <v>412</v>
      </c>
      <c r="C7" s="546">
        <f aca="true" t="shared" si="0" ref="C7:K7">C8+C11</f>
        <v>4965254</v>
      </c>
      <c r="D7" s="546">
        <f t="shared" si="0"/>
        <v>22692881</v>
      </c>
      <c r="E7" s="546">
        <f t="shared" si="0"/>
        <v>21401675</v>
      </c>
      <c r="F7" s="546">
        <f t="shared" si="0"/>
        <v>17171369</v>
      </c>
      <c r="G7" s="546">
        <f t="shared" si="0"/>
        <v>12962763</v>
      </c>
      <c r="H7" s="546">
        <f t="shared" si="0"/>
        <v>8588233</v>
      </c>
      <c r="I7" s="546">
        <f t="shared" si="0"/>
        <v>8231826</v>
      </c>
      <c r="J7" s="546">
        <f t="shared" si="0"/>
        <v>7875419</v>
      </c>
      <c r="K7" s="546">
        <f t="shared" si="0"/>
        <v>7519012</v>
      </c>
    </row>
    <row r="8" spans="1:11" ht="14.25" customHeight="1">
      <c r="A8" s="298" t="s">
        <v>367</v>
      </c>
      <c r="B8" s="327" t="s">
        <v>413</v>
      </c>
      <c r="C8" s="548">
        <f aca="true" t="shared" si="1" ref="C8:K8">C9+C10</f>
        <v>4965254</v>
      </c>
      <c r="D8" s="548">
        <f t="shared" si="1"/>
        <v>4965254</v>
      </c>
      <c r="E8" s="548">
        <f t="shared" si="1"/>
        <v>21401675</v>
      </c>
      <c r="F8" s="548">
        <f t="shared" si="1"/>
        <v>17171369</v>
      </c>
      <c r="G8" s="548">
        <f t="shared" si="1"/>
        <v>12962763</v>
      </c>
      <c r="H8" s="548">
        <f t="shared" si="1"/>
        <v>8588233</v>
      </c>
      <c r="I8" s="548">
        <f t="shared" si="1"/>
        <v>8231826</v>
      </c>
      <c r="J8" s="548">
        <f t="shared" si="1"/>
        <v>7875419</v>
      </c>
      <c r="K8" s="548">
        <f t="shared" si="1"/>
        <v>7519012</v>
      </c>
    </row>
    <row r="9" spans="1:11" ht="14.25" customHeight="1">
      <c r="A9" s="299" t="s">
        <v>368</v>
      </c>
      <c r="B9" s="328" t="s">
        <v>369</v>
      </c>
      <c r="C9" s="548">
        <v>3691289.79</v>
      </c>
      <c r="D9" s="547">
        <f>C9</f>
        <v>3691290</v>
      </c>
      <c r="E9" s="547">
        <f aca="true" t="shared" si="2" ref="E9:K10">D9+D12-D16</f>
        <v>2982654</v>
      </c>
      <c r="F9" s="547">
        <f t="shared" si="2"/>
        <v>2351118</v>
      </c>
      <c r="G9" s="547">
        <f t="shared" si="2"/>
        <v>1719682</v>
      </c>
      <c r="H9" s="547">
        <f t="shared" si="2"/>
        <v>911755</v>
      </c>
      <c r="I9" s="547">
        <f t="shared" si="2"/>
        <v>675719</v>
      </c>
      <c r="J9" s="547">
        <f t="shared" si="2"/>
        <v>439683</v>
      </c>
      <c r="K9" s="547">
        <f t="shared" si="2"/>
        <v>214447</v>
      </c>
    </row>
    <row r="10" spans="1:11" ht="14.25" customHeight="1">
      <c r="A10" s="299" t="s">
        <v>370</v>
      </c>
      <c r="B10" s="328" t="s">
        <v>371</v>
      </c>
      <c r="C10" s="548">
        <f>2545163.96-1255000-16200</f>
        <v>1273964</v>
      </c>
      <c r="D10" s="547">
        <f>C10</f>
        <v>1273964</v>
      </c>
      <c r="E10" s="547">
        <f t="shared" si="2"/>
        <v>18419021</v>
      </c>
      <c r="F10" s="547">
        <f t="shared" si="2"/>
        <v>14820251</v>
      </c>
      <c r="G10" s="547">
        <f t="shared" si="2"/>
        <v>11243081</v>
      </c>
      <c r="H10" s="547">
        <f t="shared" si="2"/>
        <v>7676478</v>
      </c>
      <c r="I10" s="547">
        <f t="shared" si="2"/>
        <v>7556107</v>
      </c>
      <c r="J10" s="547">
        <f t="shared" si="2"/>
        <v>7435736</v>
      </c>
      <c r="K10" s="547">
        <f t="shared" si="2"/>
        <v>7304565</v>
      </c>
    </row>
    <row r="11" spans="1:11" ht="14.25" customHeight="1">
      <c r="A11" s="298" t="s">
        <v>372</v>
      </c>
      <c r="B11" s="329" t="s">
        <v>415</v>
      </c>
      <c r="C11" s="548">
        <f aca="true" t="shared" si="3" ref="C11:K11">C12+C13</f>
        <v>0</v>
      </c>
      <c r="D11" s="548">
        <f t="shared" si="3"/>
        <v>17727627</v>
      </c>
      <c r="E11" s="548">
        <f t="shared" si="3"/>
        <v>0</v>
      </c>
      <c r="F11" s="548">
        <f t="shared" si="3"/>
        <v>0</v>
      </c>
      <c r="G11" s="548">
        <f t="shared" si="3"/>
        <v>0</v>
      </c>
      <c r="H11" s="548">
        <f t="shared" si="3"/>
        <v>0</v>
      </c>
      <c r="I11" s="548">
        <f t="shared" si="3"/>
        <v>0</v>
      </c>
      <c r="J11" s="548">
        <f t="shared" si="3"/>
        <v>0</v>
      </c>
      <c r="K11" s="548">
        <f t="shared" si="3"/>
        <v>0</v>
      </c>
    </row>
    <row r="12" spans="1:11" ht="14.25" customHeight="1">
      <c r="A12" s="299" t="s">
        <v>373</v>
      </c>
      <c r="B12" s="328" t="s">
        <v>374</v>
      </c>
      <c r="C12" s="548"/>
      <c r="D12" s="548"/>
      <c r="E12" s="548"/>
      <c r="F12" s="548"/>
      <c r="G12" s="548"/>
      <c r="H12" s="548"/>
      <c r="I12" s="548"/>
      <c r="J12" s="548"/>
      <c r="K12" s="548"/>
    </row>
    <row r="13" spans="1:11" ht="14.25" customHeight="1">
      <c r="A13" s="299" t="s">
        <v>375</v>
      </c>
      <c r="B13" s="328" t="s">
        <v>388</v>
      </c>
      <c r="C13" s="548"/>
      <c r="D13" s="548">
        <f>Przychody!C21</f>
        <v>17727627</v>
      </c>
      <c r="E13" s="548"/>
      <c r="F13" s="548"/>
      <c r="G13" s="548"/>
      <c r="H13" s="548"/>
      <c r="I13" s="548"/>
      <c r="J13" s="548"/>
      <c r="K13" s="548"/>
    </row>
    <row r="14" spans="1:11" ht="14.25" customHeight="1">
      <c r="A14" s="298">
        <v>2</v>
      </c>
      <c r="B14" s="326" t="s">
        <v>376</v>
      </c>
      <c r="C14" s="546"/>
      <c r="D14" s="546">
        <f aca="true" t="shared" si="4" ref="D14:K14">D15+D18</f>
        <v>1711206</v>
      </c>
      <c r="E14" s="546">
        <f t="shared" si="4"/>
        <v>4610306</v>
      </c>
      <c r="F14" s="546">
        <f t="shared" si="4"/>
        <v>4528606</v>
      </c>
      <c r="G14" s="546">
        <f t="shared" si="4"/>
        <v>4654530</v>
      </c>
      <c r="H14" s="546">
        <f t="shared" si="4"/>
        <v>556407</v>
      </c>
      <c r="I14" s="546">
        <f t="shared" si="4"/>
        <v>506407</v>
      </c>
      <c r="J14" s="546">
        <f t="shared" si="4"/>
        <v>456407</v>
      </c>
      <c r="K14" s="546">
        <f t="shared" si="4"/>
        <v>384818</v>
      </c>
    </row>
    <row r="15" spans="1:11" ht="14.25" customHeight="1">
      <c r="A15" s="298" t="s">
        <v>377</v>
      </c>
      <c r="B15" s="326" t="s">
        <v>414</v>
      </c>
      <c r="C15" s="546"/>
      <c r="D15" s="546">
        <f aca="true" t="shared" si="5" ref="D15:K15">D16+D17</f>
        <v>1291206</v>
      </c>
      <c r="E15" s="546">
        <f t="shared" si="5"/>
        <v>4230306</v>
      </c>
      <c r="F15" s="546">
        <f t="shared" si="5"/>
        <v>4208606</v>
      </c>
      <c r="G15" s="546">
        <f t="shared" si="5"/>
        <v>4374530</v>
      </c>
      <c r="H15" s="546">
        <f t="shared" si="5"/>
        <v>356407</v>
      </c>
      <c r="I15" s="546">
        <f t="shared" si="5"/>
        <v>356407</v>
      </c>
      <c r="J15" s="546">
        <f t="shared" si="5"/>
        <v>356407</v>
      </c>
      <c r="K15" s="546">
        <f t="shared" si="5"/>
        <v>334818</v>
      </c>
    </row>
    <row r="16" spans="1:12" ht="14.25" customHeight="1">
      <c r="A16" s="299" t="s">
        <v>378</v>
      </c>
      <c r="B16" s="328" t="s">
        <v>369</v>
      </c>
      <c r="C16" s="548"/>
      <c r="D16" s="680">
        <f>692436+16200</f>
        <v>708636</v>
      </c>
      <c r="E16" s="680">
        <v>631536</v>
      </c>
      <c r="F16" s="680">
        <v>631436</v>
      </c>
      <c r="G16" s="680">
        <v>807927</v>
      </c>
      <c r="H16" s="680">
        <v>236036</v>
      </c>
      <c r="I16" s="680">
        <v>236036</v>
      </c>
      <c r="J16" s="680">
        <v>225236</v>
      </c>
      <c r="K16" s="680">
        <v>214447</v>
      </c>
      <c r="L16" s="330"/>
    </row>
    <row r="17" spans="1:12" ht="14.25" customHeight="1">
      <c r="A17" s="299" t="s">
        <v>379</v>
      </c>
      <c r="B17" s="328" t="s">
        <v>371</v>
      </c>
      <c r="C17" s="548"/>
      <c r="D17" s="680">
        <f>598770-16200</f>
        <v>582570</v>
      </c>
      <c r="E17" s="680">
        <f>4198770-200000-400000</f>
        <v>3598770</v>
      </c>
      <c r="F17" s="690">
        <f>3948364-371193.77</f>
        <v>3577170</v>
      </c>
      <c r="G17" s="680">
        <v>3566603</v>
      </c>
      <c r="H17" s="680">
        <v>120371</v>
      </c>
      <c r="I17" s="680">
        <v>120371</v>
      </c>
      <c r="J17" s="680">
        <v>131171</v>
      </c>
      <c r="K17" s="680">
        <v>120371</v>
      </c>
      <c r="L17" s="330"/>
    </row>
    <row r="18" spans="1:11" ht="14.25" customHeight="1">
      <c r="A18" s="298" t="s">
        <v>380</v>
      </c>
      <c r="B18" s="329" t="s">
        <v>381</v>
      </c>
      <c r="C18" s="549"/>
      <c r="D18" s="549">
        <v>420000</v>
      </c>
      <c r="E18" s="549">
        <v>380000</v>
      </c>
      <c r="F18" s="549">
        <v>320000</v>
      </c>
      <c r="G18" s="549">
        <v>280000</v>
      </c>
      <c r="H18" s="549">
        <v>200000</v>
      </c>
      <c r="I18" s="549">
        <v>150000</v>
      </c>
      <c r="J18" s="549">
        <v>100000</v>
      </c>
      <c r="K18" s="549">
        <v>50000</v>
      </c>
    </row>
    <row r="19" spans="1:11" ht="15" customHeight="1">
      <c r="A19" s="298" t="s">
        <v>129</v>
      </c>
      <c r="B19" s="326" t="s">
        <v>382</v>
      </c>
      <c r="C19" s="546"/>
      <c r="D19" s="546">
        <f>Dochody!D63</f>
        <v>35765593</v>
      </c>
      <c r="E19" s="546">
        <f aca="true" t="shared" si="6" ref="E19:K19">D19+500000</f>
        <v>36265593</v>
      </c>
      <c r="F19" s="546">
        <f t="shared" si="6"/>
        <v>36765593</v>
      </c>
      <c r="G19" s="546">
        <f t="shared" si="6"/>
        <v>37265593</v>
      </c>
      <c r="H19" s="546">
        <f t="shared" si="6"/>
        <v>37765593</v>
      </c>
      <c r="I19" s="546">
        <f t="shared" si="6"/>
        <v>38265593</v>
      </c>
      <c r="J19" s="546">
        <f t="shared" si="6"/>
        <v>38765593</v>
      </c>
      <c r="K19" s="546">
        <f t="shared" si="6"/>
        <v>39265593</v>
      </c>
    </row>
    <row r="20" spans="1:11" ht="15" customHeight="1">
      <c r="A20" s="298" t="s">
        <v>131</v>
      </c>
      <c r="B20" s="326" t="s">
        <v>383</v>
      </c>
      <c r="C20" s="546"/>
      <c r="D20" s="546">
        <f>Wydatki!C273</f>
        <v>52202013</v>
      </c>
      <c r="E20" s="546">
        <f>E19+500000</f>
        <v>36765593</v>
      </c>
      <c r="F20" s="546">
        <f aca="true" t="shared" si="7" ref="F20:K20">E20+500000</f>
        <v>37265593</v>
      </c>
      <c r="G20" s="546">
        <f t="shared" si="7"/>
        <v>37765593</v>
      </c>
      <c r="H20" s="546">
        <f t="shared" si="7"/>
        <v>38265593</v>
      </c>
      <c r="I20" s="546">
        <f t="shared" si="7"/>
        <v>38765593</v>
      </c>
      <c r="J20" s="546">
        <f t="shared" si="7"/>
        <v>39265593</v>
      </c>
      <c r="K20" s="546">
        <f t="shared" si="7"/>
        <v>39765593</v>
      </c>
    </row>
    <row r="21" spans="1:11" ht="15" customHeight="1">
      <c r="A21" s="298" t="s">
        <v>133</v>
      </c>
      <c r="B21" s="326" t="s">
        <v>384</v>
      </c>
      <c r="C21" s="546"/>
      <c r="D21" s="546">
        <f aca="true" t="shared" si="8" ref="D21:K21">D19-D20</f>
        <v>-16436420</v>
      </c>
      <c r="E21" s="546">
        <f t="shared" si="8"/>
        <v>-500000</v>
      </c>
      <c r="F21" s="546">
        <f t="shared" si="8"/>
        <v>-500000</v>
      </c>
      <c r="G21" s="546">
        <f t="shared" si="8"/>
        <v>-500000</v>
      </c>
      <c r="H21" s="546">
        <f t="shared" si="8"/>
        <v>-500000</v>
      </c>
      <c r="I21" s="546">
        <f t="shared" si="8"/>
        <v>-500000</v>
      </c>
      <c r="J21" s="546">
        <f t="shared" si="8"/>
        <v>-500000</v>
      </c>
      <c r="K21" s="546">
        <f t="shared" si="8"/>
        <v>-500000</v>
      </c>
    </row>
    <row r="22" spans="1:11" ht="12" customHeight="1">
      <c r="A22" s="298" t="s">
        <v>134</v>
      </c>
      <c r="B22" s="326" t="s">
        <v>385</v>
      </c>
      <c r="C22" s="546"/>
      <c r="D22" s="546"/>
      <c r="E22" s="546"/>
      <c r="F22" s="546"/>
      <c r="G22" s="546"/>
      <c r="H22" s="546"/>
      <c r="I22" s="546"/>
      <c r="J22" s="546"/>
      <c r="K22" s="546"/>
    </row>
    <row r="23" spans="1:11" ht="12" customHeight="1">
      <c r="A23" s="298" t="s">
        <v>386</v>
      </c>
      <c r="B23" s="329" t="s">
        <v>416</v>
      </c>
      <c r="C23" s="548"/>
      <c r="D23" s="550">
        <f>(D8+D11-D15)/D19%</f>
        <v>59.8</v>
      </c>
      <c r="E23" s="550">
        <f aca="true" t="shared" si="9" ref="E23:K23">(E8+E11-E15)/E19%</f>
        <v>47.3</v>
      </c>
      <c r="F23" s="550">
        <f t="shared" si="9"/>
        <v>35.3</v>
      </c>
      <c r="G23" s="550">
        <f t="shared" si="9"/>
        <v>23</v>
      </c>
      <c r="H23" s="550">
        <f t="shared" si="9"/>
        <v>21.8</v>
      </c>
      <c r="I23" s="550">
        <f t="shared" si="9"/>
        <v>20.6</v>
      </c>
      <c r="J23" s="550">
        <f t="shared" si="9"/>
        <v>19.4</v>
      </c>
      <c r="K23" s="550">
        <f t="shared" si="9"/>
        <v>18.3</v>
      </c>
    </row>
    <row r="24" spans="1:11" ht="12" customHeight="1">
      <c r="A24" s="298" t="s">
        <v>387</v>
      </c>
      <c r="B24" s="329" t="s">
        <v>417</v>
      </c>
      <c r="C24" s="548"/>
      <c r="D24" s="550">
        <f aca="true" t="shared" si="10" ref="D24:K24">(D15+D18)/D19%</f>
        <v>4.8</v>
      </c>
      <c r="E24" s="550">
        <f t="shared" si="10"/>
        <v>12.7</v>
      </c>
      <c r="F24" s="550">
        <f t="shared" si="10"/>
        <v>12.3</v>
      </c>
      <c r="G24" s="550">
        <f t="shared" si="10"/>
        <v>12.5</v>
      </c>
      <c r="H24" s="550">
        <f t="shared" si="10"/>
        <v>1.5</v>
      </c>
      <c r="I24" s="550">
        <f t="shared" si="10"/>
        <v>1.3</v>
      </c>
      <c r="J24" s="550">
        <f t="shared" si="10"/>
        <v>1.2</v>
      </c>
      <c r="K24" s="550">
        <f t="shared" si="10"/>
        <v>1</v>
      </c>
    </row>
    <row r="25" spans="1:11" ht="25.5" customHeight="1">
      <c r="A25" s="676">
        <v>7</v>
      </c>
      <c r="B25" s="677" t="s">
        <v>654</v>
      </c>
      <c r="C25" s="678">
        <f>C7</f>
        <v>4965254</v>
      </c>
      <c r="D25" s="678">
        <f>D7-D15</f>
        <v>21401675</v>
      </c>
      <c r="E25" s="678">
        <f aca="true" t="shared" si="11" ref="E25:K25">E7-E15</f>
        <v>17171369</v>
      </c>
      <c r="F25" s="678">
        <f t="shared" si="11"/>
        <v>12962763</v>
      </c>
      <c r="G25" s="678">
        <f t="shared" si="11"/>
        <v>8588233</v>
      </c>
      <c r="H25" s="678">
        <f t="shared" si="11"/>
        <v>8231826</v>
      </c>
      <c r="I25" s="678">
        <f t="shared" si="11"/>
        <v>7875419</v>
      </c>
      <c r="J25" s="678">
        <f t="shared" si="11"/>
        <v>7519012</v>
      </c>
      <c r="K25" s="678">
        <f t="shared" si="11"/>
        <v>7184194</v>
      </c>
    </row>
    <row r="26" ht="13.5">
      <c r="D26" s="551"/>
    </row>
    <row r="28" spans="4:12" ht="13.5">
      <c r="D28" s="679"/>
      <c r="E28" s="679"/>
      <c r="F28" s="679"/>
      <c r="G28" s="679"/>
      <c r="H28" s="679"/>
      <c r="I28" s="679"/>
      <c r="J28" s="679"/>
      <c r="K28" s="679"/>
      <c r="L28" s="679"/>
    </row>
    <row r="29" spans="4:12" ht="13.5">
      <c r="D29" s="679"/>
      <c r="E29" s="679"/>
      <c r="F29" s="679"/>
      <c r="G29" s="679"/>
      <c r="H29" s="679"/>
      <c r="I29" s="679"/>
      <c r="J29" s="679"/>
      <c r="K29" s="679"/>
      <c r="L29" s="679"/>
    </row>
  </sheetData>
  <mergeCells count="7">
    <mergeCell ref="E1:H1"/>
    <mergeCell ref="A2:G2"/>
    <mergeCell ref="A4:A5"/>
    <mergeCell ref="B4:B5"/>
    <mergeCell ref="C4:C5"/>
    <mergeCell ref="D4:K4"/>
    <mergeCell ref="A3:K3"/>
  </mergeCells>
  <printOptions/>
  <pageMargins left="0.97" right="0.25" top="0.3" bottom="0.3" header="0.18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4"/>
  <sheetViews>
    <sheetView workbookViewId="0" topLeftCell="A1">
      <selection activeCell="A134" sqref="A134:J143"/>
    </sheetView>
  </sheetViews>
  <sheetFormatPr defaultColWidth="9.00390625" defaultRowHeight="12.75"/>
  <cols>
    <col min="1" max="1" width="4.125" style="3" customWidth="1"/>
    <col min="2" max="2" width="6.75390625" style="3" customWidth="1"/>
    <col min="3" max="3" width="4.375" style="3" customWidth="1"/>
    <col min="4" max="4" width="43.25390625" style="3" customWidth="1"/>
    <col min="5" max="8" width="11.125" style="5" hidden="1" customWidth="1"/>
    <col min="9" max="9" width="13.75390625" style="555" customWidth="1"/>
    <col min="10" max="10" width="13.75390625" style="572" customWidth="1"/>
    <col min="11" max="11" width="13.125" style="570" customWidth="1"/>
    <col min="12" max="12" width="9.125" style="7" customWidth="1"/>
    <col min="13" max="13" width="14.625" style="7" customWidth="1"/>
    <col min="14" max="16384" width="9.125" style="7" customWidth="1"/>
  </cols>
  <sheetData>
    <row r="1" spans="1:3" ht="13.5">
      <c r="A1" s="2" t="s">
        <v>664</v>
      </c>
      <c r="C1" s="4"/>
    </row>
    <row r="2" spans="1:3" ht="13.5">
      <c r="A2" s="3" t="s">
        <v>174</v>
      </c>
      <c r="C2" s="4"/>
    </row>
    <row r="3" spans="1:11" ht="16.5" customHeight="1">
      <c r="A3" s="8" t="s">
        <v>1</v>
      </c>
      <c r="B3" s="9" t="s">
        <v>109</v>
      </c>
      <c r="C3" s="10" t="s">
        <v>175</v>
      </c>
      <c r="D3" s="9" t="s">
        <v>2</v>
      </c>
      <c r="E3" s="12" t="s">
        <v>104</v>
      </c>
      <c r="F3" s="12" t="s">
        <v>234</v>
      </c>
      <c r="G3" s="12" t="s">
        <v>241</v>
      </c>
      <c r="H3" s="12" t="s">
        <v>309</v>
      </c>
      <c r="I3" s="556" t="s">
        <v>440</v>
      </c>
      <c r="J3" s="573" t="s">
        <v>521</v>
      </c>
      <c r="K3" s="571"/>
    </row>
    <row r="4" spans="1:11" ht="13.5">
      <c r="A4" s="749" t="s">
        <v>69</v>
      </c>
      <c r="B4" s="13"/>
      <c r="C4" s="13"/>
      <c r="D4" s="14" t="s">
        <v>3</v>
      </c>
      <c r="E4" s="15">
        <f aca="true" t="shared" si="0" ref="E4:J4">E5</f>
        <v>17000</v>
      </c>
      <c r="F4" s="15">
        <f t="shared" si="0"/>
        <v>27000</v>
      </c>
      <c r="G4" s="15">
        <f t="shared" si="0"/>
        <v>45000</v>
      </c>
      <c r="H4" s="15">
        <f t="shared" si="0"/>
        <v>10000</v>
      </c>
      <c r="I4" s="557">
        <f t="shared" si="0"/>
        <v>27000</v>
      </c>
      <c r="J4" s="574">
        <f t="shared" si="0"/>
        <v>17000</v>
      </c>
      <c r="K4" s="571"/>
    </row>
    <row r="5" spans="1:11" ht="15">
      <c r="A5" s="750"/>
      <c r="B5" s="13" t="s">
        <v>70</v>
      </c>
      <c r="C5" s="13"/>
      <c r="D5" s="16" t="s">
        <v>26</v>
      </c>
      <c r="E5" s="17">
        <f aca="true" t="shared" si="1" ref="E5:J5">E6+E7</f>
        <v>17000</v>
      </c>
      <c r="F5" s="17">
        <f t="shared" si="1"/>
        <v>27000</v>
      </c>
      <c r="G5" s="17">
        <f t="shared" si="1"/>
        <v>45000</v>
      </c>
      <c r="H5" s="17">
        <f t="shared" si="1"/>
        <v>10000</v>
      </c>
      <c r="I5" s="558">
        <f t="shared" si="1"/>
        <v>27000</v>
      </c>
      <c r="J5" s="575">
        <f t="shared" si="1"/>
        <v>17000</v>
      </c>
      <c r="K5" s="571"/>
    </row>
    <row r="6" spans="1:11" ht="13.5">
      <c r="A6" s="750"/>
      <c r="B6" s="13"/>
      <c r="C6" s="13" t="s">
        <v>176</v>
      </c>
      <c r="D6" s="18" t="s">
        <v>177</v>
      </c>
      <c r="E6" s="19">
        <v>7000</v>
      </c>
      <c r="F6" s="19">
        <v>7000</v>
      </c>
      <c r="G6" s="19">
        <v>5000</v>
      </c>
      <c r="H6" s="19">
        <v>5000</v>
      </c>
      <c r="I6" s="559">
        <v>7000</v>
      </c>
      <c r="J6" s="513">
        <v>7000</v>
      </c>
      <c r="K6" s="571"/>
    </row>
    <row r="7" spans="1:11" ht="13.5">
      <c r="A7" s="751"/>
      <c r="B7" s="20"/>
      <c r="C7" s="20" t="s">
        <v>243</v>
      </c>
      <c r="D7" s="21" t="s">
        <v>178</v>
      </c>
      <c r="E7" s="22">
        <v>10000</v>
      </c>
      <c r="F7" s="22">
        <v>20000</v>
      </c>
      <c r="G7" s="22">
        <v>40000</v>
      </c>
      <c r="H7" s="22">
        <v>5000</v>
      </c>
      <c r="I7" s="560">
        <v>20000</v>
      </c>
      <c r="J7" s="512">
        <v>10000</v>
      </c>
      <c r="K7" s="571"/>
    </row>
    <row r="8" spans="1:11" ht="13.5">
      <c r="A8" s="737">
        <v>630</v>
      </c>
      <c r="B8" s="23"/>
      <c r="C8" s="24"/>
      <c r="D8" s="14" t="s">
        <v>5</v>
      </c>
      <c r="E8" s="25">
        <f aca="true" t="shared" si="2" ref="E8:J8">E9</f>
        <v>19000</v>
      </c>
      <c r="F8" s="25">
        <f t="shared" si="2"/>
        <v>20000</v>
      </c>
      <c r="G8" s="25">
        <f t="shared" si="2"/>
        <v>20000</v>
      </c>
      <c r="H8" s="25">
        <f t="shared" si="2"/>
        <v>20000</v>
      </c>
      <c r="I8" s="561">
        <f t="shared" si="2"/>
        <v>25200</v>
      </c>
      <c r="J8" s="576">
        <f t="shared" si="2"/>
        <v>192000</v>
      </c>
      <c r="K8" s="571"/>
    </row>
    <row r="9" spans="1:11" ht="15">
      <c r="A9" s="738"/>
      <c r="B9" s="18">
        <v>63001</v>
      </c>
      <c r="C9" s="27"/>
      <c r="D9" s="16" t="s">
        <v>30</v>
      </c>
      <c r="E9" s="17">
        <f aca="true" t="shared" si="3" ref="E9:J9">E10+E11</f>
        <v>19000</v>
      </c>
      <c r="F9" s="17">
        <f t="shared" si="3"/>
        <v>20000</v>
      </c>
      <c r="G9" s="17">
        <f t="shared" si="3"/>
        <v>20000</v>
      </c>
      <c r="H9" s="17">
        <f t="shared" si="3"/>
        <v>20000</v>
      </c>
      <c r="I9" s="558">
        <f t="shared" si="3"/>
        <v>25200</v>
      </c>
      <c r="J9" s="575">
        <f t="shared" si="3"/>
        <v>192000</v>
      </c>
      <c r="K9" s="571"/>
    </row>
    <row r="10" spans="1:11" ht="13.5">
      <c r="A10" s="738"/>
      <c r="B10" s="18"/>
      <c r="C10" s="27" t="s">
        <v>179</v>
      </c>
      <c r="D10" s="18" t="s">
        <v>180</v>
      </c>
      <c r="E10" s="19">
        <v>15000</v>
      </c>
      <c r="F10" s="19">
        <v>20000</v>
      </c>
      <c r="G10" s="19">
        <v>20000</v>
      </c>
      <c r="H10" s="19">
        <v>20000</v>
      </c>
      <c r="I10" s="559">
        <v>25200</v>
      </c>
      <c r="J10" s="513">
        <v>26000</v>
      </c>
      <c r="K10" s="571"/>
    </row>
    <row r="11" spans="1:11" ht="13.5">
      <c r="A11" s="738"/>
      <c r="B11" s="18"/>
      <c r="C11" s="27" t="s">
        <v>243</v>
      </c>
      <c r="D11" s="18" t="s">
        <v>302</v>
      </c>
      <c r="E11" s="19">
        <v>4000</v>
      </c>
      <c r="F11" s="19"/>
      <c r="G11" s="19"/>
      <c r="H11" s="19"/>
      <c r="I11" s="559"/>
      <c r="J11" s="513">
        <v>166000</v>
      </c>
      <c r="K11" s="571"/>
    </row>
    <row r="12" spans="1:11" ht="13.5">
      <c r="A12" s="28">
        <v>600</v>
      </c>
      <c r="B12" s="23"/>
      <c r="C12" s="29"/>
      <c r="D12" s="14" t="s">
        <v>4</v>
      </c>
      <c r="E12" s="30"/>
      <c r="F12" s="30"/>
      <c r="G12" s="25">
        <f aca="true" t="shared" si="4" ref="G12:J13">G13</f>
        <v>0</v>
      </c>
      <c r="H12" s="25">
        <f t="shared" si="4"/>
        <v>233960</v>
      </c>
      <c r="I12" s="561">
        <f t="shared" si="4"/>
        <v>0</v>
      </c>
      <c r="J12" s="576">
        <f t="shared" si="4"/>
        <v>0</v>
      </c>
      <c r="K12" s="571"/>
    </row>
    <row r="13" spans="1:11" ht="13.5">
      <c r="A13" s="31"/>
      <c r="B13" s="18">
        <v>60016</v>
      </c>
      <c r="C13" s="32"/>
      <c r="D13" s="16" t="s">
        <v>29</v>
      </c>
      <c r="E13" s="19"/>
      <c r="F13" s="19"/>
      <c r="G13" s="19">
        <f t="shared" si="4"/>
        <v>0</v>
      </c>
      <c r="H13" s="19">
        <f t="shared" si="4"/>
        <v>233960</v>
      </c>
      <c r="I13" s="559">
        <f t="shared" si="4"/>
        <v>0</v>
      </c>
      <c r="J13" s="513">
        <f t="shared" si="4"/>
        <v>0</v>
      </c>
      <c r="K13" s="571"/>
    </row>
    <row r="14" spans="1:11" ht="13.5">
      <c r="A14" s="33"/>
      <c r="B14" s="21"/>
      <c r="C14" s="34" t="s">
        <v>408</v>
      </c>
      <c r="D14" s="21" t="s">
        <v>248</v>
      </c>
      <c r="E14" s="22"/>
      <c r="F14" s="22"/>
      <c r="G14" s="22"/>
      <c r="H14" s="22">
        <v>233960</v>
      </c>
      <c r="I14" s="560"/>
      <c r="J14" s="512"/>
      <c r="K14" s="571"/>
    </row>
    <row r="15" spans="1:11" ht="13.5">
      <c r="A15" s="739">
        <v>700</v>
      </c>
      <c r="B15" s="23"/>
      <c r="C15" s="35"/>
      <c r="D15" s="14" t="s">
        <v>6</v>
      </c>
      <c r="E15" s="25">
        <f aca="true" t="shared" si="5" ref="E15:J15">E16</f>
        <v>541000</v>
      </c>
      <c r="F15" s="25">
        <f t="shared" si="5"/>
        <v>728240</v>
      </c>
      <c r="G15" s="25">
        <f t="shared" si="5"/>
        <v>683600</v>
      </c>
      <c r="H15" s="25">
        <f t="shared" si="5"/>
        <v>715510</v>
      </c>
      <c r="I15" s="561">
        <f t="shared" si="5"/>
        <v>659000</v>
      </c>
      <c r="J15" s="576">
        <f t="shared" si="5"/>
        <v>2769930</v>
      </c>
      <c r="K15" s="571"/>
    </row>
    <row r="16" spans="1:11" ht="15">
      <c r="A16" s="740"/>
      <c r="B16" s="18">
        <v>70005</v>
      </c>
      <c r="C16" s="36"/>
      <c r="D16" s="16" t="s">
        <v>31</v>
      </c>
      <c r="E16" s="17">
        <f>E17+E18+E20+E21</f>
        <v>541000</v>
      </c>
      <c r="F16" s="17">
        <f>F17+F18+F20+F21</f>
        <v>728240</v>
      </c>
      <c r="G16" s="17">
        <f>G17+G18+G20+G21</f>
        <v>683600</v>
      </c>
      <c r="H16" s="17">
        <f>H17+H18+H20+H21</f>
        <v>715510</v>
      </c>
      <c r="I16" s="558">
        <f>I17+I18+I20+I21</f>
        <v>659000</v>
      </c>
      <c r="J16" s="575">
        <f>J17+J18+J20+J21+J19</f>
        <v>2769930</v>
      </c>
      <c r="K16" s="571"/>
    </row>
    <row r="17" spans="1:11" ht="13.5">
      <c r="A17" s="740"/>
      <c r="B17" s="18"/>
      <c r="C17" s="36" t="s">
        <v>181</v>
      </c>
      <c r="D17" s="18" t="s">
        <v>182</v>
      </c>
      <c r="E17" s="19">
        <v>55000</v>
      </c>
      <c r="F17" s="19">
        <v>50000</v>
      </c>
      <c r="G17" s="19">
        <v>30000</v>
      </c>
      <c r="H17" s="19">
        <v>40000</v>
      </c>
      <c r="I17" s="559">
        <v>40000</v>
      </c>
      <c r="J17" s="513">
        <v>170000</v>
      </c>
      <c r="K17" s="571"/>
    </row>
    <row r="18" spans="1:11" ht="13.5">
      <c r="A18" s="740"/>
      <c r="B18" s="18"/>
      <c r="C18" s="36" t="s">
        <v>183</v>
      </c>
      <c r="D18" s="18" t="s">
        <v>298</v>
      </c>
      <c r="E18" s="19">
        <v>170000</v>
      </c>
      <c r="F18" s="19">
        <v>170000</v>
      </c>
      <c r="G18" s="19">
        <v>180590</v>
      </c>
      <c r="H18" s="19">
        <v>160000</v>
      </c>
      <c r="I18" s="559">
        <v>180000</v>
      </c>
      <c r="J18" s="513">
        <v>180000</v>
      </c>
      <c r="K18" s="571"/>
    </row>
    <row r="19" spans="1:11" ht="13.5">
      <c r="A19" s="740"/>
      <c r="B19" s="18"/>
      <c r="C19" s="36" t="s">
        <v>575</v>
      </c>
      <c r="D19" s="18" t="s">
        <v>576</v>
      </c>
      <c r="E19" s="19"/>
      <c r="F19" s="19"/>
      <c r="G19" s="19"/>
      <c r="H19" s="19"/>
      <c r="I19" s="559"/>
      <c r="J19" s="513">
        <v>20000</v>
      </c>
      <c r="K19" s="571"/>
    </row>
    <row r="20" spans="1:11" ht="25.5">
      <c r="A20" s="740"/>
      <c r="B20" s="18"/>
      <c r="C20" s="36" t="s">
        <v>184</v>
      </c>
      <c r="D20" s="18" t="s">
        <v>299</v>
      </c>
      <c r="E20" s="19">
        <v>175000</v>
      </c>
      <c r="F20" s="19">
        <f>358240+150000</f>
        <v>508240</v>
      </c>
      <c r="G20" s="19">
        <f>354010+137000-18000</f>
        <v>473010</v>
      </c>
      <c r="H20" s="19">
        <f>415510+100000</f>
        <v>515510</v>
      </c>
      <c r="I20" s="559">
        <v>439000</v>
      </c>
      <c r="J20" s="513">
        <v>2399930</v>
      </c>
      <c r="K20" s="571"/>
    </row>
    <row r="21" spans="1:11" ht="13.5">
      <c r="A21" s="33"/>
      <c r="B21" s="21"/>
      <c r="C21" s="34" t="s">
        <v>185</v>
      </c>
      <c r="D21" s="21" t="s">
        <v>248</v>
      </c>
      <c r="E21" s="22">
        <v>141000</v>
      </c>
      <c r="F21" s="22"/>
      <c r="G21" s="22"/>
      <c r="H21" s="22"/>
      <c r="I21" s="560"/>
      <c r="J21" s="512"/>
      <c r="K21" s="571"/>
    </row>
    <row r="22" spans="1:11" ht="13.5">
      <c r="A22" s="26">
        <v>710</v>
      </c>
      <c r="B22" s="38"/>
      <c r="C22" s="39"/>
      <c r="D22" s="26" t="s">
        <v>32</v>
      </c>
      <c r="E22" s="15">
        <f aca="true" t="shared" si="6" ref="E22:J23">E23</f>
        <v>14000</v>
      </c>
      <c r="F22" s="15">
        <f t="shared" si="6"/>
        <v>15000</v>
      </c>
      <c r="G22" s="15">
        <f t="shared" si="6"/>
        <v>18000</v>
      </c>
      <c r="H22" s="15">
        <f t="shared" si="6"/>
        <v>18000</v>
      </c>
      <c r="I22" s="557">
        <f t="shared" si="6"/>
        <v>18000</v>
      </c>
      <c r="J22" s="574">
        <f t="shared" si="6"/>
        <v>18000</v>
      </c>
      <c r="K22" s="571"/>
    </row>
    <row r="23" spans="1:11" ht="15">
      <c r="A23" s="40"/>
      <c r="B23" s="41">
        <v>71095</v>
      </c>
      <c r="C23" s="42"/>
      <c r="D23" s="16" t="s">
        <v>27</v>
      </c>
      <c r="E23" s="17">
        <f t="shared" si="6"/>
        <v>14000</v>
      </c>
      <c r="F23" s="17">
        <f t="shared" si="6"/>
        <v>15000</v>
      </c>
      <c r="G23" s="17">
        <f t="shared" si="6"/>
        <v>18000</v>
      </c>
      <c r="H23" s="17">
        <f t="shared" si="6"/>
        <v>18000</v>
      </c>
      <c r="I23" s="558">
        <f t="shared" si="6"/>
        <v>18000</v>
      </c>
      <c r="J23" s="575">
        <f>J24</f>
        <v>18000</v>
      </c>
      <c r="K23" s="571"/>
    </row>
    <row r="24" spans="1:11" ht="13.5">
      <c r="A24" s="26"/>
      <c r="B24" s="41"/>
      <c r="C24" s="13" t="s">
        <v>179</v>
      </c>
      <c r="D24" s="18" t="s">
        <v>180</v>
      </c>
      <c r="E24" s="19">
        <v>14000</v>
      </c>
      <c r="F24" s="19">
        <v>15000</v>
      </c>
      <c r="G24" s="19">
        <v>18000</v>
      </c>
      <c r="H24" s="19">
        <v>18000</v>
      </c>
      <c r="I24" s="559">
        <v>18000</v>
      </c>
      <c r="J24" s="513">
        <v>18000</v>
      </c>
      <c r="K24" s="571"/>
    </row>
    <row r="25" spans="1:11" ht="13.5">
      <c r="A25" s="739">
        <v>750</v>
      </c>
      <c r="B25" s="23"/>
      <c r="C25" s="43"/>
      <c r="D25" s="14" t="s">
        <v>7</v>
      </c>
      <c r="E25" s="25">
        <f aca="true" t="shared" si="7" ref="E25:J25">E26+E29</f>
        <v>158500</v>
      </c>
      <c r="F25" s="25">
        <f t="shared" si="7"/>
        <v>168491</v>
      </c>
      <c r="G25" s="25">
        <f t="shared" si="7"/>
        <v>166379</v>
      </c>
      <c r="H25" s="25">
        <f t="shared" si="7"/>
        <v>167073</v>
      </c>
      <c r="I25" s="561">
        <f t="shared" si="7"/>
        <v>166725</v>
      </c>
      <c r="J25" s="576">
        <f t="shared" si="7"/>
        <v>178118</v>
      </c>
      <c r="K25" s="571"/>
    </row>
    <row r="26" spans="1:11" ht="15">
      <c r="A26" s="740"/>
      <c r="B26" s="18">
        <v>75011</v>
      </c>
      <c r="C26" s="44"/>
      <c r="D26" s="16" t="s">
        <v>95</v>
      </c>
      <c r="E26" s="17">
        <f aca="true" t="shared" si="8" ref="E26:J26">E27+E28</f>
        <v>126500</v>
      </c>
      <c r="F26" s="17">
        <f t="shared" si="8"/>
        <v>131491</v>
      </c>
      <c r="G26" s="17">
        <f t="shared" si="8"/>
        <v>133379</v>
      </c>
      <c r="H26" s="17">
        <f t="shared" si="8"/>
        <v>134073</v>
      </c>
      <c r="I26" s="558">
        <f t="shared" si="8"/>
        <v>133725</v>
      </c>
      <c r="J26" s="575">
        <f t="shared" si="8"/>
        <v>138118</v>
      </c>
      <c r="K26" s="571"/>
    </row>
    <row r="27" spans="1:11" ht="13.5">
      <c r="A27" s="740"/>
      <c r="B27" s="18"/>
      <c r="C27" s="44" t="s">
        <v>324</v>
      </c>
      <c r="D27" s="18"/>
      <c r="E27" s="19">
        <v>1500</v>
      </c>
      <c r="F27" s="19">
        <f>50000*5%</f>
        <v>2500</v>
      </c>
      <c r="G27" s="19">
        <f>50000*5%</f>
        <v>2500</v>
      </c>
      <c r="H27" s="19">
        <v>3000</v>
      </c>
      <c r="I27" s="559">
        <v>1850</v>
      </c>
      <c r="J27" s="513">
        <f>27000*5%</f>
        <v>1350</v>
      </c>
      <c r="K27" s="571"/>
    </row>
    <row r="28" spans="1:11" ht="13.5">
      <c r="A28" s="740"/>
      <c r="B28" s="18"/>
      <c r="C28" s="44" t="s">
        <v>186</v>
      </c>
      <c r="D28" s="18" t="s">
        <v>249</v>
      </c>
      <c r="E28" s="19">
        <v>125000</v>
      </c>
      <c r="F28" s="19">
        <v>128991</v>
      </c>
      <c r="G28" s="19">
        <v>130879</v>
      </c>
      <c r="H28" s="19">
        <v>131073</v>
      </c>
      <c r="I28" s="559">
        <v>131875</v>
      </c>
      <c r="J28" s="513">
        <v>136768</v>
      </c>
      <c r="K28" s="571"/>
    </row>
    <row r="29" spans="1:11" ht="15">
      <c r="A29" s="740"/>
      <c r="B29" s="18">
        <v>75023</v>
      </c>
      <c r="C29" s="44"/>
      <c r="D29" s="16" t="s">
        <v>187</v>
      </c>
      <c r="E29" s="17">
        <f aca="true" t="shared" si="9" ref="E29:J29">E30+E31+E32</f>
        <v>32000</v>
      </c>
      <c r="F29" s="17">
        <f t="shared" si="9"/>
        <v>37000</v>
      </c>
      <c r="G29" s="17">
        <f t="shared" si="9"/>
        <v>33000</v>
      </c>
      <c r="H29" s="17">
        <f t="shared" si="9"/>
        <v>33000</v>
      </c>
      <c r="I29" s="558">
        <f t="shared" si="9"/>
        <v>33000</v>
      </c>
      <c r="J29" s="575">
        <f t="shared" si="9"/>
        <v>40000</v>
      </c>
      <c r="K29" s="571"/>
    </row>
    <row r="30" spans="1:11" ht="13.5">
      <c r="A30" s="740"/>
      <c r="B30" s="18"/>
      <c r="C30" s="44" t="s">
        <v>441</v>
      </c>
      <c r="D30" s="18" t="s">
        <v>442</v>
      </c>
      <c r="E30" s="45">
        <v>10000</v>
      </c>
      <c r="F30" s="45">
        <v>12000</v>
      </c>
      <c r="G30" s="45">
        <v>18000</v>
      </c>
      <c r="H30" s="45">
        <v>18000</v>
      </c>
      <c r="I30" s="562">
        <v>17000</v>
      </c>
      <c r="J30" s="553">
        <v>20000</v>
      </c>
      <c r="K30" s="571"/>
    </row>
    <row r="31" spans="1:11" ht="13.5">
      <c r="A31" s="740"/>
      <c r="B31" s="18"/>
      <c r="C31" s="44" t="s">
        <v>179</v>
      </c>
      <c r="D31" s="18" t="s">
        <v>180</v>
      </c>
      <c r="E31" s="45">
        <v>10000</v>
      </c>
      <c r="F31" s="45">
        <v>18000</v>
      </c>
      <c r="G31" s="45">
        <v>10000</v>
      </c>
      <c r="H31" s="45"/>
      <c r="I31" s="562"/>
      <c r="J31" s="553"/>
      <c r="K31" s="571"/>
    </row>
    <row r="32" spans="1:11" ht="13.5">
      <c r="A32" s="33"/>
      <c r="B32" s="21"/>
      <c r="C32" s="46" t="s">
        <v>176</v>
      </c>
      <c r="D32" s="21" t="s">
        <v>177</v>
      </c>
      <c r="E32" s="47">
        <v>12000</v>
      </c>
      <c r="F32" s="47">
        <v>7000</v>
      </c>
      <c r="G32" s="47">
        <v>5000</v>
      </c>
      <c r="H32" s="47">
        <v>15000</v>
      </c>
      <c r="I32" s="563">
        <v>16000</v>
      </c>
      <c r="J32" s="554">
        <v>20000</v>
      </c>
      <c r="K32" s="571"/>
    </row>
    <row r="33" spans="1:11" ht="13.5">
      <c r="A33" s="738">
        <v>751</v>
      </c>
      <c r="B33" s="41"/>
      <c r="C33" s="13"/>
      <c r="D33" s="38" t="s">
        <v>250</v>
      </c>
      <c r="E33" s="15">
        <f aca="true" t="shared" si="10" ref="E33:J34">E34</f>
        <v>2820</v>
      </c>
      <c r="F33" s="15">
        <f t="shared" si="10"/>
        <v>2818</v>
      </c>
      <c r="G33" s="15">
        <f t="shared" si="10"/>
        <v>2968</v>
      </c>
      <c r="H33" s="15">
        <f t="shared" si="10"/>
        <v>2866</v>
      </c>
      <c r="I33" s="557">
        <f t="shared" si="10"/>
        <v>2958</v>
      </c>
      <c r="J33" s="574">
        <f t="shared" si="10"/>
        <v>2946</v>
      </c>
      <c r="K33" s="571"/>
    </row>
    <row r="34" spans="1:11" ht="15">
      <c r="A34" s="738"/>
      <c r="B34" s="41">
        <v>75101</v>
      </c>
      <c r="C34" s="13"/>
      <c r="D34" s="48" t="s">
        <v>300</v>
      </c>
      <c r="E34" s="17">
        <f t="shared" si="10"/>
        <v>2820</v>
      </c>
      <c r="F34" s="17">
        <f t="shared" si="10"/>
        <v>2818</v>
      </c>
      <c r="G34" s="17">
        <f t="shared" si="10"/>
        <v>2968</v>
      </c>
      <c r="H34" s="17">
        <f t="shared" si="10"/>
        <v>2866</v>
      </c>
      <c r="I34" s="558">
        <f t="shared" si="10"/>
        <v>2958</v>
      </c>
      <c r="J34" s="575">
        <f>J35</f>
        <v>2946</v>
      </c>
      <c r="K34" s="571"/>
    </row>
    <row r="35" spans="1:11" ht="13.5">
      <c r="A35" s="741"/>
      <c r="B35" s="41"/>
      <c r="C35" s="13" t="s">
        <v>186</v>
      </c>
      <c r="D35" s="18" t="s">
        <v>249</v>
      </c>
      <c r="E35" s="19">
        <v>2820</v>
      </c>
      <c r="F35" s="19">
        <v>2818</v>
      </c>
      <c r="G35" s="19">
        <v>2968</v>
      </c>
      <c r="H35" s="19">
        <v>2866</v>
      </c>
      <c r="I35" s="559">
        <v>2958</v>
      </c>
      <c r="J35" s="513">
        <v>2946</v>
      </c>
      <c r="K35" s="571"/>
    </row>
    <row r="36" spans="1:11" ht="13.5">
      <c r="A36" s="739">
        <v>754</v>
      </c>
      <c r="B36" s="23"/>
      <c r="C36" s="24"/>
      <c r="D36" s="49" t="s">
        <v>108</v>
      </c>
      <c r="E36" s="50">
        <f aca="true" t="shared" si="11" ref="E36:J37">E37</f>
        <v>10000</v>
      </c>
      <c r="F36" s="50">
        <f t="shared" si="11"/>
        <v>7000</v>
      </c>
      <c r="G36" s="50">
        <f t="shared" si="11"/>
        <v>0</v>
      </c>
      <c r="H36" s="50">
        <f t="shared" si="11"/>
        <v>0</v>
      </c>
      <c r="I36" s="564">
        <f t="shared" si="11"/>
        <v>0</v>
      </c>
      <c r="J36" s="577">
        <f t="shared" si="11"/>
        <v>0</v>
      </c>
      <c r="K36" s="571"/>
    </row>
    <row r="37" spans="1:11" ht="13.5">
      <c r="A37" s="740"/>
      <c r="B37" s="18">
        <v>75414</v>
      </c>
      <c r="C37" s="27"/>
      <c r="D37" s="51" t="s">
        <v>105</v>
      </c>
      <c r="E37" s="52">
        <f t="shared" si="11"/>
        <v>10000</v>
      </c>
      <c r="F37" s="52">
        <f t="shared" si="11"/>
        <v>7000</v>
      </c>
      <c r="G37" s="52">
        <f t="shared" si="11"/>
        <v>0</v>
      </c>
      <c r="H37" s="52">
        <f t="shared" si="11"/>
        <v>0</v>
      </c>
      <c r="I37" s="565">
        <f t="shared" si="11"/>
        <v>0</v>
      </c>
      <c r="J37" s="578">
        <f t="shared" si="11"/>
        <v>0</v>
      </c>
      <c r="K37" s="571"/>
    </row>
    <row r="38" spans="1:11" ht="13.5">
      <c r="A38" s="740"/>
      <c r="B38" s="18"/>
      <c r="C38" s="27" t="s">
        <v>188</v>
      </c>
      <c r="D38" s="3" t="s">
        <v>301</v>
      </c>
      <c r="E38" s="45">
        <v>10000</v>
      </c>
      <c r="F38" s="45">
        <v>7000</v>
      </c>
      <c r="G38" s="45">
        <v>0</v>
      </c>
      <c r="H38" s="45">
        <v>0</v>
      </c>
      <c r="I38" s="562">
        <v>0</v>
      </c>
      <c r="J38" s="553">
        <v>0</v>
      </c>
      <c r="K38" s="571"/>
    </row>
    <row r="39" spans="1:11" ht="16.5" customHeight="1">
      <c r="A39" s="28">
        <v>756</v>
      </c>
      <c r="B39" s="23"/>
      <c r="C39" s="35"/>
      <c r="D39" s="14" t="s">
        <v>251</v>
      </c>
      <c r="E39" s="53" t="e">
        <f>E40+E42+E62+E66</f>
        <v>#REF!</v>
      </c>
      <c r="F39" s="50" t="e">
        <f>F40+F42+F62+F66</f>
        <v>#REF!</v>
      </c>
      <c r="G39" s="50" t="e">
        <f>G40+G42+G62+G66+G51</f>
        <v>#REF!</v>
      </c>
      <c r="H39" s="50" t="e">
        <f>H40+H42+H62+H66+H51</f>
        <v>#REF!</v>
      </c>
      <c r="I39" s="564">
        <f>I40+I42+I62+I66+I51</f>
        <v>11380573</v>
      </c>
      <c r="J39" s="577">
        <f>J40+J42+J62+J66+J51</f>
        <v>12557523</v>
      </c>
      <c r="K39" s="571"/>
    </row>
    <row r="40" spans="1:11" ht="15">
      <c r="A40" s="31"/>
      <c r="B40" s="18">
        <v>75601</v>
      </c>
      <c r="C40" s="36"/>
      <c r="D40" s="16" t="s">
        <v>189</v>
      </c>
      <c r="E40" s="54">
        <f aca="true" t="shared" si="12" ref="E40:J40">E41</f>
        <v>30000</v>
      </c>
      <c r="F40" s="55">
        <f t="shared" si="12"/>
        <v>35000</v>
      </c>
      <c r="G40" s="55">
        <f t="shared" si="12"/>
        <v>37000</v>
      </c>
      <c r="H40" s="55">
        <f t="shared" si="12"/>
        <v>36000</v>
      </c>
      <c r="I40" s="566">
        <f t="shared" si="12"/>
        <v>33000</v>
      </c>
      <c r="J40" s="579">
        <f t="shared" si="12"/>
        <v>30000</v>
      </c>
      <c r="K40" s="571"/>
    </row>
    <row r="41" spans="1:11" ht="13.5">
      <c r="A41" s="31"/>
      <c r="B41" s="56"/>
      <c r="C41" s="36" t="s">
        <v>190</v>
      </c>
      <c r="D41" s="18" t="s">
        <v>252</v>
      </c>
      <c r="E41" s="57">
        <v>30000</v>
      </c>
      <c r="F41" s="45">
        <v>35000</v>
      </c>
      <c r="G41" s="45">
        <v>37000</v>
      </c>
      <c r="H41" s="45">
        <v>36000</v>
      </c>
      <c r="I41" s="562">
        <v>33000</v>
      </c>
      <c r="J41" s="553">
        <v>30000</v>
      </c>
      <c r="K41" s="571"/>
    </row>
    <row r="42" spans="1:11" ht="15">
      <c r="A42" s="31"/>
      <c r="B42" s="18">
        <v>75615</v>
      </c>
      <c r="C42" s="58"/>
      <c r="D42" s="16" t="s">
        <v>253</v>
      </c>
      <c r="E42" s="54" t="e">
        <f>E43+E44+E45+E46+#REF!+#REF!+#REF!+E48+E49</f>
        <v>#REF!</v>
      </c>
      <c r="F42" s="55" t="e">
        <f>F43+F44+F45+F46+#REF!+#REF!+#REF!+F48+F49+F47</f>
        <v>#REF!</v>
      </c>
      <c r="G42" s="55" t="e">
        <f>G43+G44+G45+G46+#REF!+#REF!+#REF!+G48+G49+G47</f>
        <v>#REF!</v>
      </c>
      <c r="H42" s="55" t="e">
        <f>H43+H44+H45+H46+#REF!+#REF!+#REF!+H48+H49+H47</f>
        <v>#REF!</v>
      </c>
      <c r="I42" s="566">
        <f>I43+I44+I45+I46+I48+I49+I47+I50</f>
        <v>4760573</v>
      </c>
      <c r="J42" s="579">
        <f>J43+J44+J45+J46+J48+J49+J47+J50</f>
        <v>4861660</v>
      </c>
      <c r="K42" s="571"/>
    </row>
    <row r="43" spans="1:11" ht="13.5">
      <c r="A43" s="31"/>
      <c r="B43" s="56"/>
      <c r="C43" s="36" t="s">
        <v>191</v>
      </c>
      <c r="D43" s="18" t="s">
        <v>192</v>
      </c>
      <c r="E43" s="57">
        <f>3492000+500000</f>
        <v>3992000</v>
      </c>
      <c r="F43" s="45">
        <v>4200000</v>
      </c>
      <c r="G43" s="45">
        <v>3730000</v>
      </c>
      <c r="H43" s="45">
        <v>3680000</v>
      </c>
      <c r="I43" s="562">
        <v>3960000</v>
      </c>
      <c r="J43" s="553">
        <v>4000000</v>
      </c>
      <c r="K43" s="571"/>
    </row>
    <row r="44" spans="1:11" ht="13.5">
      <c r="A44" s="31"/>
      <c r="B44" s="18"/>
      <c r="C44" s="36" t="s">
        <v>193</v>
      </c>
      <c r="D44" s="18" t="s">
        <v>194</v>
      </c>
      <c r="E44" s="57">
        <v>190000</v>
      </c>
      <c r="F44" s="45">
        <v>190000</v>
      </c>
      <c r="G44" s="45">
        <v>35000</v>
      </c>
      <c r="H44" s="45">
        <v>50000</v>
      </c>
      <c r="I44" s="562">
        <v>80000</v>
      </c>
      <c r="J44" s="553">
        <v>70000</v>
      </c>
      <c r="K44" s="571"/>
    </row>
    <row r="45" spans="1:11" ht="13.5">
      <c r="A45" s="31"/>
      <c r="B45" s="18"/>
      <c r="C45" s="36" t="s">
        <v>195</v>
      </c>
      <c r="D45" s="18" t="s">
        <v>13</v>
      </c>
      <c r="E45" s="57">
        <v>300000</v>
      </c>
      <c r="F45" s="45">
        <v>305000</v>
      </c>
      <c r="G45" s="45">
        <v>350000</v>
      </c>
      <c r="H45" s="45">
        <v>357000</v>
      </c>
      <c r="I45" s="562">
        <v>390000</v>
      </c>
      <c r="J45" s="553">
        <v>440000</v>
      </c>
      <c r="K45" s="571"/>
    </row>
    <row r="46" spans="1:11" ht="13.5">
      <c r="A46" s="31"/>
      <c r="B46" s="18"/>
      <c r="C46" s="36" t="s">
        <v>196</v>
      </c>
      <c r="D46" s="18" t="s">
        <v>197</v>
      </c>
      <c r="E46" s="57">
        <f>42000+110000</f>
        <v>152000</v>
      </c>
      <c r="F46" s="45">
        <v>140000</v>
      </c>
      <c r="G46" s="45">
        <v>55000</v>
      </c>
      <c r="H46" s="45">
        <v>50000</v>
      </c>
      <c r="I46" s="562">
        <v>50000</v>
      </c>
      <c r="J46" s="553">
        <v>50000</v>
      </c>
      <c r="K46" s="571"/>
    </row>
    <row r="47" spans="1:11" ht="13.5">
      <c r="A47" s="31"/>
      <c r="B47" s="18"/>
      <c r="C47" s="36" t="s">
        <v>240</v>
      </c>
      <c r="D47" s="18" t="s">
        <v>239</v>
      </c>
      <c r="E47" s="57"/>
      <c r="F47" s="45">
        <v>15000</v>
      </c>
      <c r="G47" s="45">
        <v>4000</v>
      </c>
      <c r="H47" s="45">
        <v>2000</v>
      </c>
      <c r="I47" s="562">
        <v>2000</v>
      </c>
      <c r="J47" s="553">
        <v>2500</v>
      </c>
      <c r="K47" s="571"/>
    </row>
    <row r="48" spans="1:11" ht="13.5">
      <c r="A48" s="31"/>
      <c r="B48" s="18"/>
      <c r="C48" s="36" t="s">
        <v>204</v>
      </c>
      <c r="D48" s="18" t="s">
        <v>15</v>
      </c>
      <c r="E48" s="57">
        <v>110000</v>
      </c>
      <c r="F48" s="45">
        <v>130000</v>
      </c>
      <c r="G48" s="45">
        <v>20000</v>
      </c>
      <c r="H48" s="45">
        <v>20000</v>
      </c>
      <c r="I48" s="562">
        <v>25000</v>
      </c>
      <c r="J48" s="553">
        <v>40000</v>
      </c>
      <c r="K48" s="571"/>
    </row>
    <row r="49" spans="1:11" ht="13.5">
      <c r="A49" s="31"/>
      <c r="B49" s="18"/>
      <c r="C49" s="36" t="s">
        <v>205</v>
      </c>
      <c r="D49" s="18" t="s">
        <v>206</v>
      </c>
      <c r="E49" s="57">
        <v>5000</v>
      </c>
      <c r="F49" s="45">
        <v>7000</v>
      </c>
      <c r="G49" s="45">
        <v>7000</v>
      </c>
      <c r="H49" s="45">
        <v>10000</v>
      </c>
      <c r="I49" s="562">
        <v>10000</v>
      </c>
      <c r="J49" s="553">
        <v>10000</v>
      </c>
      <c r="K49" s="571"/>
    </row>
    <row r="50" spans="1:11" ht="13.5">
      <c r="A50" s="31"/>
      <c r="B50" s="18"/>
      <c r="C50" s="36" t="s">
        <v>459</v>
      </c>
      <c r="D50" s="18"/>
      <c r="E50" s="57"/>
      <c r="F50" s="45"/>
      <c r="G50" s="45"/>
      <c r="H50" s="45"/>
      <c r="I50" s="562">
        <v>243573</v>
      </c>
      <c r="J50" s="553">
        <v>249160</v>
      </c>
      <c r="K50" s="571"/>
    </row>
    <row r="51" spans="1:11" ht="15">
      <c r="A51" s="31"/>
      <c r="B51" s="18">
        <v>75616</v>
      </c>
      <c r="C51" s="58"/>
      <c r="D51" s="16" t="s">
        <v>254</v>
      </c>
      <c r="E51" s="54">
        <f>E52+E53+E54+E55+E56+E57+E58+E60+E61</f>
        <v>0</v>
      </c>
      <c r="F51" s="55">
        <f>F52+F53+F54+F55+F56+F57+F58+F60+F61+F59</f>
        <v>0</v>
      </c>
      <c r="G51" s="55">
        <f>G52+G53+G54+G55+G56+G57+G58+G60+G61+G59</f>
        <v>1143000</v>
      </c>
      <c r="H51" s="55">
        <f>H52+H53+H54+H55+H56+H57+H58+H60+H61+H59</f>
        <v>1190000</v>
      </c>
      <c r="I51" s="566">
        <f>I52+I53+I54+I55+I56+I57+I58+I60+I61+I59</f>
        <v>1402000</v>
      </c>
      <c r="J51" s="579">
        <f>J52+J53+J54+J55+J56+J57+J58+J60+J61+J59</f>
        <v>1629500</v>
      </c>
      <c r="K51" s="571"/>
    </row>
    <row r="52" spans="1:11" ht="13.5">
      <c r="A52" s="31"/>
      <c r="B52" s="56"/>
      <c r="C52" s="36" t="s">
        <v>191</v>
      </c>
      <c r="D52" s="18" t="s">
        <v>192</v>
      </c>
      <c r="E52" s="57"/>
      <c r="F52" s="45"/>
      <c r="G52" s="45">
        <v>630000</v>
      </c>
      <c r="H52" s="45">
        <v>700000</v>
      </c>
      <c r="I52" s="562">
        <v>800000</v>
      </c>
      <c r="J52" s="553">
        <v>880000</v>
      </c>
      <c r="K52" s="571"/>
    </row>
    <row r="53" spans="1:11" ht="13.5">
      <c r="A53" s="31"/>
      <c r="B53" s="18"/>
      <c r="C53" s="36" t="s">
        <v>193</v>
      </c>
      <c r="D53" s="18" t="s">
        <v>194</v>
      </c>
      <c r="E53" s="57"/>
      <c r="F53" s="45"/>
      <c r="G53" s="45">
        <v>115000</v>
      </c>
      <c r="H53" s="45">
        <v>150000</v>
      </c>
      <c r="I53" s="562">
        <v>210000</v>
      </c>
      <c r="J53" s="553">
        <v>250000</v>
      </c>
      <c r="K53" s="571"/>
    </row>
    <row r="54" spans="1:11" ht="13.5">
      <c r="A54" s="31"/>
      <c r="B54" s="18"/>
      <c r="C54" s="36" t="s">
        <v>195</v>
      </c>
      <c r="D54" s="18" t="s">
        <v>13</v>
      </c>
      <c r="E54" s="57"/>
      <c r="F54" s="45"/>
      <c r="G54" s="45">
        <v>20000</v>
      </c>
      <c r="H54" s="45">
        <v>23000</v>
      </c>
      <c r="I54" s="562">
        <v>25000</v>
      </c>
      <c r="J54" s="553">
        <v>26000</v>
      </c>
      <c r="K54" s="571"/>
    </row>
    <row r="55" spans="1:11" ht="13.5">
      <c r="A55" s="31"/>
      <c r="B55" s="18"/>
      <c r="C55" s="36" t="s">
        <v>196</v>
      </c>
      <c r="D55" s="18" t="s">
        <v>197</v>
      </c>
      <c r="E55" s="57"/>
      <c r="F55" s="45"/>
      <c r="G55" s="45">
        <v>110000</v>
      </c>
      <c r="H55" s="45">
        <v>100000</v>
      </c>
      <c r="I55" s="562">
        <v>100000</v>
      </c>
      <c r="J55" s="553">
        <v>130000</v>
      </c>
      <c r="K55" s="571"/>
    </row>
    <row r="56" spans="1:11" ht="13.5">
      <c r="A56" s="31"/>
      <c r="B56" s="18"/>
      <c r="C56" s="36" t="s">
        <v>198</v>
      </c>
      <c r="D56" s="18" t="s">
        <v>199</v>
      </c>
      <c r="E56" s="57"/>
      <c r="F56" s="45"/>
      <c r="G56" s="45">
        <v>20000</v>
      </c>
      <c r="H56" s="45">
        <v>5000</v>
      </c>
      <c r="I56" s="562">
        <v>10000</v>
      </c>
      <c r="J56" s="553">
        <v>15000</v>
      </c>
      <c r="K56" s="571"/>
    </row>
    <row r="57" spans="1:11" ht="13.5">
      <c r="A57" s="31"/>
      <c r="B57" s="18"/>
      <c r="C57" s="152" t="s">
        <v>200</v>
      </c>
      <c r="D57" s="153" t="s">
        <v>201</v>
      </c>
      <c r="E57" s="154"/>
      <c r="F57" s="155"/>
      <c r="G57" s="155">
        <v>7000</v>
      </c>
      <c r="H57" s="155">
        <v>5000</v>
      </c>
      <c r="I57" s="562">
        <v>5000</v>
      </c>
      <c r="J57" s="580">
        <v>6000</v>
      </c>
      <c r="K57" s="571"/>
    </row>
    <row r="58" spans="1:11" ht="13.5">
      <c r="A58" s="31"/>
      <c r="B58" s="18"/>
      <c r="C58" s="36" t="s">
        <v>202</v>
      </c>
      <c r="D58" s="18" t="s">
        <v>203</v>
      </c>
      <c r="E58" s="57"/>
      <c r="F58" s="45"/>
      <c r="G58" s="45">
        <v>115000</v>
      </c>
      <c r="H58" s="45">
        <v>110000</v>
      </c>
      <c r="I58" s="562">
        <v>115000</v>
      </c>
      <c r="J58" s="553">
        <v>110000</v>
      </c>
      <c r="K58" s="571"/>
    </row>
    <row r="59" spans="1:11" ht="13.5">
      <c r="A59" s="31"/>
      <c r="B59" s="18"/>
      <c r="C59" s="36" t="s">
        <v>240</v>
      </c>
      <c r="D59" s="18" t="s">
        <v>239</v>
      </c>
      <c r="E59" s="57"/>
      <c r="F59" s="45"/>
      <c r="G59" s="45">
        <v>4000</v>
      </c>
      <c r="H59" s="45">
        <v>2000</v>
      </c>
      <c r="I59" s="562">
        <v>2000</v>
      </c>
      <c r="J59" s="553">
        <v>2500</v>
      </c>
      <c r="K59" s="571"/>
    </row>
    <row r="60" spans="1:11" ht="13.5">
      <c r="A60" s="31"/>
      <c r="B60" s="18"/>
      <c r="C60" s="36" t="s">
        <v>204</v>
      </c>
      <c r="D60" s="18" t="s">
        <v>15</v>
      </c>
      <c r="E60" s="57"/>
      <c r="F60" s="45"/>
      <c r="G60" s="45">
        <v>115000</v>
      </c>
      <c r="H60" s="45">
        <v>90000</v>
      </c>
      <c r="I60" s="562">
        <v>130000</v>
      </c>
      <c r="J60" s="553">
        <v>200000</v>
      </c>
      <c r="K60" s="571"/>
    </row>
    <row r="61" spans="1:11" ht="13.5">
      <c r="A61" s="31"/>
      <c r="B61" s="18"/>
      <c r="C61" s="36" t="s">
        <v>205</v>
      </c>
      <c r="D61" s="18" t="s">
        <v>206</v>
      </c>
      <c r="E61" s="57"/>
      <c r="F61" s="45"/>
      <c r="G61" s="45">
        <v>7000</v>
      </c>
      <c r="H61" s="45">
        <v>5000</v>
      </c>
      <c r="I61" s="562">
        <v>5000</v>
      </c>
      <c r="J61" s="553">
        <v>10000</v>
      </c>
      <c r="K61" s="571"/>
    </row>
    <row r="62" spans="1:11" ht="15">
      <c r="A62" s="31"/>
      <c r="B62" s="18">
        <v>75618</v>
      </c>
      <c r="C62" s="36"/>
      <c r="D62" s="16" t="s">
        <v>255</v>
      </c>
      <c r="E62" s="54">
        <f aca="true" t="shared" si="13" ref="E62:J62">E63+E64+E65</f>
        <v>430000</v>
      </c>
      <c r="F62" s="55">
        <f t="shared" si="13"/>
        <v>450000</v>
      </c>
      <c r="G62" s="55">
        <f t="shared" si="13"/>
        <v>500000</v>
      </c>
      <c r="H62" s="55">
        <f t="shared" si="13"/>
        <v>465000</v>
      </c>
      <c r="I62" s="566">
        <f t="shared" si="13"/>
        <v>465000</v>
      </c>
      <c r="J62" s="579">
        <f t="shared" si="13"/>
        <v>478000</v>
      </c>
      <c r="K62" s="571"/>
    </row>
    <row r="63" spans="1:11" ht="13.5">
      <c r="A63" s="31"/>
      <c r="B63" s="56"/>
      <c r="C63" s="36" t="s">
        <v>207</v>
      </c>
      <c r="D63" s="18" t="s">
        <v>208</v>
      </c>
      <c r="E63" s="57">
        <v>160000</v>
      </c>
      <c r="F63" s="45">
        <v>170000</v>
      </c>
      <c r="G63" s="45">
        <v>205000</v>
      </c>
      <c r="H63" s="45">
        <v>180000</v>
      </c>
      <c r="I63" s="562">
        <v>195000</v>
      </c>
      <c r="J63" s="553">
        <v>200000</v>
      </c>
      <c r="K63" s="571"/>
    </row>
    <row r="64" spans="1:11" ht="13.5">
      <c r="A64" s="31"/>
      <c r="B64" s="18"/>
      <c r="C64" s="36" t="s">
        <v>209</v>
      </c>
      <c r="D64" s="18" t="s">
        <v>210</v>
      </c>
      <c r="E64" s="57">
        <v>80000</v>
      </c>
      <c r="F64" s="45">
        <v>90000</v>
      </c>
      <c r="G64" s="45">
        <v>105000</v>
      </c>
      <c r="H64" s="45">
        <v>105000</v>
      </c>
      <c r="I64" s="562">
        <v>90000</v>
      </c>
      <c r="J64" s="553">
        <v>98000</v>
      </c>
      <c r="K64" s="571"/>
    </row>
    <row r="65" spans="1:11" ht="13.5">
      <c r="A65" s="31"/>
      <c r="B65" s="18"/>
      <c r="C65" s="36" t="s">
        <v>211</v>
      </c>
      <c r="D65" s="18" t="s">
        <v>212</v>
      </c>
      <c r="E65" s="57">
        <v>190000</v>
      </c>
      <c r="F65" s="45">
        <v>190000</v>
      </c>
      <c r="G65" s="45">
        <v>190000</v>
      </c>
      <c r="H65" s="45">
        <v>180000</v>
      </c>
      <c r="I65" s="562">
        <v>180000</v>
      </c>
      <c r="J65" s="553">
        <v>180000</v>
      </c>
      <c r="K65" s="571"/>
    </row>
    <row r="66" spans="1:11" ht="15">
      <c r="A66" s="31"/>
      <c r="B66" s="18">
        <v>75621</v>
      </c>
      <c r="C66" s="58"/>
      <c r="D66" s="16" t="s">
        <v>262</v>
      </c>
      <c r="E66" s="54">
        <f aca="true" t="shared" si="14" ref="E66:J66">E67+E68</f>
        <v>2611000</v>
      </c>
      <c r="F66" s="55">
        <f t="shared" si="14"/>
        <v>3086867</v>
      </c>
      <c r="G66" s="55">
        <f t="shared" si="14"/>
        <v>3729778</v>
      </c>
      <c r="H66" s="55">
        <f t="shared" si="14"/>
        <v>4619184</v>
      </c>
      <c r="I66" s="566">
        <f t="shared" si="14"/>
        <v>4720000</v>
      </c>
      <c r="J66" s="579">
        <f t="shared" si="14"/>
        <v>5558363</v>
      </c>
      <c r="K66" s="571"/>
    </row>
    <row r="67" spans="1:11" ht="13.5">
      <c r="A67" s="31"/>
      <c r="B67" s="56"/>
      <c r="C67" s="36" t="s">
        <v>213</v>
      </c>
      <c r="D67" s="18" t="s">
        <v>214</v>
      </c>
      <c r="E67" s="57">
        <v>2511000</v>
      </c>
      <c r="F67" s="45">
        <v>2906867</v>
      </c>
      <c r="G67" s="45">
        <v>3539778</v>
      </c>
      <c r="H67" s="45">
        <v>4319184</v>
      </c>
      <c r="I67" s="562">
        <v>4320000</v>
      </c>
      <c r="J67" s="553">
        <v>5108363</v>
      </c>
      <c r="K67" s="571"/>
    </row>
    <row r="68" spans="1:11" ht="13.5">
      <c r="A68" s="33"/>
      <c r="B68" s="21"/>
      <c r="C68" s="34" t="s">
        <v>215</v>
      </c>
      <c r="D68" s="21" t="s">
        <v>216</v>
      </c>
      <c r="E68" s="59">
        <v>100000</v>
      </c>
      <c r="F68" s="47">
        <v>180000</v>
      </c>
      <c r="G68" s="47">
        <v>190000</v>
      </c>
      <c r="H68" s="47">
        <v>300000</v>
      </c>
      <c r="I68" s="563">
        <v>400000</v>
      </c>
      <c r="J68" s="554">
        <v>450000</v>
      </c>
      <c r="K68" s="571"/>
    </row>
    <row r="69" spans="1:11" ht="13.5">
      <c r="A69" s="738">
        <v>758</v>
      </c>
      <c r="B69" s="41"/>
      <c r="C69" s="13"/>
      <c r="D69" s="38" t="s">
        <v>8</v>
      </c>
      <c r="E69" s="15">
        <f>E70+E72+E76</f>
        <v>12641216</v>
      </c>
      <c r="F69" s="15">
        <f>F70+F72+F76</f>
        <v>12311142</v>
      </c>
      <c r="G69" s="15">
        <f>G70+G72+G76+G74</f>
        <v>13519423</v>
      </c>
      <c r="H69" s="15">
        <f>H70+H72+H76+H74</f>
        <v>14534154</v>
      </c>
      <c r="I69" s="557">
        <f>I70+I72+I76+I74</f>
        <v>14838966</v>
      </c>
      <c r="J69" s="574">
        <f>J70+J72+J76+J74</f>
        <v>18018041</v>
      </c>
      <c r="K69" s="571"/>
    </row>
    <row r="70" spans="1:11" ht="15">
      <c r="A70" s="738"/>
      <c r="B70" s="41">
        <v>75801</v>
      </c>
      <c r="C70" s="13"/>
      <c r="D70" s="48" t="s">
        <v>217</v>
      </c>
      <c r="E70" s="17">
        <f aca="true" t="shared" si="15" ref="E70:J70">E71</f>
        <v>8435450</v>
      </c>
      <c r="F70" s="17">
        <f t="shared" si="15"/>
        <v>8024457</v>
      </c>
      <c r="G70" s="17">
        <f t="shared" si="15"/>
        <v>7966690</v>
      </c>
      <c r="H70" s="17">
        <f t="shared" si="15"/>
        <v>8078301</v>
      </c>
      <c r="I70" s="558">
        <f t="shared" si="15"/>
        <v>8351027</v>
      </c>
      <c r="J70" s="575">
        <f t="shared" si="15"/>
        <v>9876218</v>
      </c>
      <c r="K70" s="571"/>
    </row>
    <row r="71" spans="1:11" ht="13.5">
      <c r="A71" s="738"/>
      <c r="B71" s="41"/>
      <c r="C71" s="13" t="s">
        <v>218</v>
      </c>
      <c r="D71" s="41" t="s">
        <v>219</v>
      </c>
      <c r="E71" s="19">
        <v>8435450</v>
      </c>
      <c r="F71" s="19">
        <v>8024457</v>
      </c>
      <c r="G71" s="19">
        <v>7966690</v>
      </c>
      <c r="H71" s="19">
        <v>8078301</v>
      </c>
      <c r="I71" s="559">
        <v>8351027</v>
      </c>
      <c r="J71" s="513">
        <v>9876218</v>
      </c>
      <c r="K71" s="571"/>
    </row>
    <row r="72" spans="1:11" ht="15">
      <c r="A72" s="738"/>
      <c r="B72" s="41">
        <v>75807</v>
      </c>
      <c r="C72" s="13"/>
      <c r="D72" s="48" t="s">
        <v>220</v>
      </c>
      <c r="E72" s="17">
        <f aca="true" t="shared" si="16" ref="E72:J72">E73</f>
        <v>4202766</v>
      </c>
      <c r="F72" s="17">
        <f t="shared" si="16"/>
        <v>4283685</v>
      </c>
      <c r="G72" s="17">
        <f t="shared" si="16"/>
        <v>4973768</v>
      </c>
      <c r="H72" s="17">
        <f t="shared" si="16"/>
        <v>5773873</v>
      </c>
      <c r="I72" s="558">
        <f t="shared" si="16"/>
        <v>5747551</v>
      </c>
      <c r="J72" s="575">
        <f t="shared" si="16"/>
        <v>7381154</v>
      </c>
      <c r="K72" s="571"/>
    </row>
    <row r="73" spans="1:11" ht="13.5">
      <c r="A73" s="738"/>
      <c r="B73" s="41"/>
      <c r="C73" s="13" t="s">
        <v>218</v>
      </c>
      <c r="D73" s="41" t="s">
        <v>219</v>
      </c>
      <c r="E73" s="19">
        <v>4202766</v>
      </c>
      <c r="F73" s="19">
        <v>4283685</v>
      </c>
      <c r="G73" s="19">
        <v>4973768</v>
      </c>
      <c r="H73" s="19">
        <v>5773873</v>
      </c>
      <c r="I73" s="559">
        <v>5747551</v>
      </c>
      <c r="J73" s="513">
        <v>7381154</v>
      </c>
      <c r="K73" s="571"/>
    </row>
    <row r="74" spans="1:11" ht="15">
      <c r="A74" s="738"/>
      <c r="B74" s="41">
        <v>75831</v>
      </c>
      <c r="C74" s="13"/>
      <c r="D74" s="48" t="s">
        <v>259</v>
      </c>
      <c r="E74" s="19"/>
      <c r="F74" s="19"/>
      <c r="G74" s="19">
        <f>G75</f>
        <v>573965</v>
      </c>
      <c r="H74" s="19">
        <f>H75</f>
        <v>675980</v>
      </c>
      <c r="I74" s="558">
        <f>I75</f>
        <v>730388</v>
      </c>
      <c r="J74" s="575">
        <f>J75</f>
        <v>730669</v>
      </c>
      <c r="K74" s="571"/>
    </row>
    <row r="75" spans="1:11" ht="13.5">
      <c r="A75" s="738"/>
      <c r="B75" s="41"/>
      <c r="C75" s="13" t="s">
        <v>218</v>
      </c>
      <c r="D75" s="41" t="s">
        <v>219</v>
      </c>
      <c r="E75" s="19"/>
      <c r="F75" s="19"/>
      <c r="G75" s="19">
        <v>573965</v>
      </c>
      <c r="H75" s="19">
        <v>675980</v>
      </c>
      <c r="I75" s="559">
        <v>730388</v>
      </c>
      <c r="J75" s="513">
        <v>730669</v>
      </c>
      <c r="K75" s="571"/>
    </row>
    <row r="76" spans="1:11" ht="15">
      <c r="A76" s="738"/>
      <c r="B76" s="41">
        <v>75814</v>
      </c>
      <c r="C76" s="13"/>
      <c r="D76" s="48" t="s">
        <v>221</v>
      </c>
      <c r="E76" s="17">
        <f aca="true" t="shared" si="17" ref="E76:J76">E77</f>
        <v>3000</v>
      </c>
      <c r="F76" s="17">
        <f t="shared" si="17"/>
        <v>3000</v>
      </c>
      <c r="G76" s="17">
        <f t="shared" si="17"/>
        <v>5000</v>
      </c>
      <c r="H76" s="17">
        <f t="shared" si="17"/>
        <v>6000</v>
      </c>
      <c r="I76" s="558">
        <f t="shared" si="17"/>
        <v>10000</v>
      </c>
      <c r="J76" s="575">
        <f t="shared" si="17"/>
        <v>30000</v>
      </c>
      <c r="K76" s="571"/>
    </row>
    <row r="77" spans="1:11" ht="13.5">
      <c r="A77" s="741"/>
      <c r="B77" s="60"/>
      <c r="C77" s="20" t="s">
        <v>222</v>
      </c>
      <c r="D77" s="60" t="s">
        <v>223</v>
      </c>
      <c r="E77" s="22">
        <v>3000</v>
      </c>
      <c r="F77" s="22">
        <v>3000</v>
      </c>
      <c r="G77" s="22">
        <v>5000</v>
      </c>
      <c r="H77" s="22">
        <v>6000</v>
      </c>
      <c r="I77" s="560">
        <v>10000</v>
      </c>
      <c r="J77" s="512">
        <v>30000</v>
      </c>
      <c r="K77" s="571"/>
    </row>
    <row r="78" spans="1:11" ht="13.5">
      <c r="A78" s="737">
        <v>801</v>
      </c>
      <c r="B78" s="23"/>
      <c r="C78" s="24"/>
      <c r="D78" s="14" t="s">
        <v>9</v>
      </c>
      <c r="E78" s="25">
        <f>E82</f>
        <v>760000</v>
      </c>
      <c r="F78" s="25">
        <f>F82</f>
        <v>680000</v>
      </c>
      <c r="G78" s="25">
        <f>G82</f>
        <v>650000</v>
      </c>
      <c r="H78" s="25">
        <f>H82</f>
        <v>650000</v>
      </c>
      <c r="I78" s="561">
        <f>I82+I79</f>
        <v>1822045.15</v>
      </c>
      <c r="J78" s="576">
        <f>J82+J79</f>
        <v>2120353.94</v>
      </c>
      <c r="K78" s="571"/>
    </row>
    <row r="79" spans="1:11" ht="15">
      <c r="A79" s="738"/>
      <c r="B79" s="18">
        <v>80101</v>
      </c>
      <c r="C79" s="27"/>
      <c r="D79" s="16" t="s">
        <v>43</v>
      </c>
      <c r="E79" s="15"/>
      <c r="F79" s="15"/>
      <c r="G79" s="15"/>
      <c r="H79" s="15"/>
      <c r="I79" s="558">
        <f>I81</f>
        <v>1145045.15</v>
      </c>
      <c r="J79" s="575">
        <f>J81+J80</f>
        <v>1181921.6</v>
      </c>
      <c r="K79" s="571"/>
    </row>
    <row r="80" spans="1:11" ht="13.5">
      <c r="A80" s="738"/>
      <c r="B80" s="18"/>
      <c r="C80" s="27"/>
      <c r="D80" s="18"/>
      <c r="E80" s="15"/>
      <c r="F80" s="15"/>
      <c r="G80" s="15"/>
      <c r="H80" s="15"/>
      <c r="I80" s="557"/>
      <c r="J80" s="513"/>
      <c r="K80" s="571"/>
    </row>
    <row r="81" spans="1:11" ht="13.5">
      <c r="A81" s="738"/>
      <c r="B81" s="18"/>
      <c r="C81" s="27"/>
      <c r="D81" s="18" t="s">
        <v>458</v>
      </c>
      <c r="E81" s="15"/>
      <c r="F81" s="15"/>
      <c r="G81" s="15"/>
      <c r="H81" s="15"/>
      <c r="I81" s="559">
        <f>313711*3.65</f>
        <v>1145045.15</v>
      </c>
      <c r="J81" s="513">
        <f>347624*3.4</f>
        <v>1181921.6</v>
      </c>
      <c r="K81" s="571"/>
    </row>
    <row r="82" spans="1:11" ht="15">
      <c r="A82" s="738"/>
      <c r="B82" s="18">
        <v>80195</v>
      </c>
      <c r="C82" s="27"/>
      <c r="D82" s="16" t="s">
        <v>224</v>
      </c>
      <c r="E82" s="17">
        <f>E87+E89+E90</f>
        <v>760000</v>
      </c>
      <c r="F82" s="17">
        <f>F87+F89+F90</f>
        <v>680000</v>
      </c>
      <c r="G82" s="17">
        <f>G87+G89+G90</f>
        <v>650000</v>
      </c>
      <c r="H82" s="17">
        <f>H87+H89+H90</f>
        <v>650000</v>
      </c>
      <c r="I82" s="558">
        <f>I87+I89+I90</f>
        <v>677000</v>
      </c>
      <c r="J82" s="575">
        <f>J87+J89+J90+J88+J83+J84+J85+J86</f>
        <v>938432.34</v>
      </c>
      <c r="K82" s="571"/>
    </row>
    <row r="83" spans="1:11" ht="15">
      <c r="A83" s="738"/>
      <c r="B83" s="18"/>
      <c r="C83" s="27" t="s">
        <v>665</v>
      </c>
      <c r="D83" s="18" t="s">
        <v>522</v>
      </c>
      <c r="E83" s="17"/>
      <c r="F83" s="17"/>
      <c r="G83" s="17"/>
      <c r="H83" s="17"/>
      <c r="I83" s="558"/>
      <c r="J83" s="513">
        <v>44557.14</v>
      </c>
      <c r="K83" s="571"/>
    </row>
    <row r="84" spans="1:11" ht="15">
      <c r="A84" s="738"/>
      <c r="B84" s="18"/>
      <c r="C84" s="27" t="s">
        <v>666</v>
      </c>
      <c r="D84" s="18" t="s">
        <v>522</v>
      </c>
      <c r="E84" s="17"/>
      <c r="F84" s="17"/>
      <c r="G84" s="17"/>
      <c r="H84" s="17"/>
      <c r="I84" s="558"/>
      <c r="J84" s="513">
        <v>6992.86</v>
      </c>
      <c r="K84" s="571"/>
    </row>
    <row r="85" spans="1:11" ht="15">
      <c r="A85" s="738"/>
      <c r="B85" s="18"/>
      <c r="C85" s="27" t="s">
        <v>665</v>
      </c>
      <c r="D85" s="18" t="s">
        <v>670</v>
      </c>
      <c r="E85" s="17"/>
      <c r="F85" s="17"/>
      <c r="G85" s="17"/>
      <c r="H85" s="17"/>
      <c r="I85" s="558"/>
      <c r="J85" s="513">
        <v>34416.23</v>
      </c>
      <c r="K85" s="571"/>
    </row>
    <row r="86" spans="1:11" ht="15">
      <c r="A86" s="738"/>
      <c r="B86" s="18"/>
      <c r="C86" s="27" t="s">
        <v>666</v>
      </c>
      <c r="D86" s="18" t="s">
        <v>670</v>
      </c>
      <c r="E86" s="17"/>
      <c r="F86" s="17"/>
      <c r="G86" s="17"/>
      <c r="H86" s="17"/>
      <c r="I86" s="558"/>
      <c r="J86" s="513">
        <v>5466.11</v>
      </c>
      <c r="K86" s="571"/>
    </row>
    <row r="87" spans="1:11" ht="13.5">
      <c r="A87" s="738"/>
      <c r="B87" s="18"/>
      <c r="C87" s="27" t="s">
        <v>179</v>
      </c>
      <c r="D87" s="18" t="s">
        <v>571</v>
      </c>
      <c r="E87" s="19">
        <v>530000</v>
      </c>
      <c r="F87" s="19">
        <v>480000</v>
      </c>
      <c r="G87" s="19">
        <v>450000</v>
      </c>
      <c r="H87" s="19">
        <v>453000</v>
      </c>
      <c r="I87" s="559">
        <v>480000</v>
      </c>
      <c r="J87" s="513">
        <v>530000</v>
      </c>
      <c r="K87" s="571"/>
    </row>
    <row r="88" spans="1:11" ht="13.5">
      <c r="A88" s="738"/>
      <c r="B88" s="18"/>
      <c r="C88" s="27" t="s">
        <v>179</v>
      </c>
      <c r="D88" s="18" t="s">
        <v>572</v>
      </c>
      <c r="E88" s="19"/>
      <c r="F88" s="19"/>
      <c r="G88" s="19"/>
      <c r="H88" s="19"/>
      <c r="I88" s="559"/>
      <c r="J88" s="513">
        <v>135000</v>
      </c>
      <c r="K88" s="571"/>
    </row>
    <row r="89" spans="1:11" ht="13.5">
      <c r="A89" s="738"/>
      <c r="B89" s="18"/>
      <c r="C89" s="27" t="s">
        <v>243</v>
      </c>
      <c r="D89" s="18" t="s">
        <v>302</v>
      </c>
      <c r="E89" s="19">
        <v>210000</v>
      </c>
      <c r="F89" s="19">
        <v>195000</v>
      </c>
      <c r="G89" s="19">
        <v>195000</v>
      </c>
      <c r="H89" s="19">
        <v>195000</v>
      </c>
      <c r="I89" s="559">
        <v>195000</v>
      </c>
      <c r="J89" s="513">
        <v>180000</v>
      </c>
      <c r="K89" s="571"/>
    </row>
    <row r="90" spans="1:11" ht="13.5">
      <c r="A90" s="738"/>
      <c r="B90" s="18"/>
      <c r="C90" s="27" t="s">
        <v>176</v>
      </c>
      <c r="D90" s="18" t="s">
        <v>177</v>
      </c>
      <c r="E90" s="19">
        <v>20000</v>
      </c>
      <c r="F90" s="19">
        <v>5000</v>
      </c>
      <c r="G90" s="19">
        <v>5000</v>
      </c>
      <c r="H90" s="19">
        <v>2000</v>
      </c>
      <c r="I90" s="559">
        <f>2000</f>
        <v>2000</v>
      </c>
      <c r="J90" s="513">
        <v>2000</v>
      </c>
      <c r="K90" s="571"/>
    </row>
    <row r="91" spans="1:11" ht="13.5">
      <c r="A91" s="742">
        <v>852</v>
      </c>
      <c r="B91" s="23"/>
      <c r="C91" s="35"/>
      <c r="D91" s="14" t="s">
        <v>106</v>
      </c>
      <c r="E91" s="53">
        <f>E92+E99+E101+E104+E106+E109</f>
        <v>1120015</v>
      </c>
      <c r="F91" s="50">
        <f>F92+F99+F101+F104+F106+F109+F96</f>
        <v>4739680</v>
      </c>
      <c r="G91" s="25">
        <f>G92+G99+G101+G104+G106+G109+G96+G112</f>
        <v>6363805</v>
      </c>
      <c r="H91" s="25">
        <f>H92+H99+H101+H104+H106+H109+H96+H112</f>
        <v>7530627</v>
      </c>
      <c r="I91" s="561">
        <f>I92+I99+I101+I104+I106+I109+I96+I112</f>
        <v>7633500</v>
      </c>
      <c r="J91" s="576">
        <f>J92+J99+J101+J104+J106+J109+J96+J112</f>
        <v>7058675</v>
      </c>
      <c r="K91" s="571"/>
    </row>
    <row r="92" spans="1:11" ht="15">
      <c r="A92" s="743"/>
      <c r="B92" s="18">
        <v>85203</v>
      </c>
      <c r="C92" s="36"/>
      <c r="D92" s="18" t="s">
        <v>263</v>
      </c>
      <c r="E92" s="54">
        <f>E93</f>
        <v>303400</v>
      </c>
      <c r="F92" s="55">
        <f>F93</f>
        <v>307800</v>
      </c>
      <c r="G92" s="17">
        <f>G93</f>
        <v>311800</v>
      </c>
      <c r="H92" s="17">
        <f>H93+H94+H95</f>
        <v>407497</v>
      </c>
      <c r="I92" s="558">
        <f>I93+I94+I95</f>
        <v>379440</v>
      </c>
      <c r="J92" s="575">
        <f>J93+J94+J95</f>
        <v>406900</v>
      </c>
      <c r="K92" s="571"/>
    </row>
    <row r="93" spans="1:11" ht="13.5">
      <c r="A93" s="743"/>
      <c r="B93" s="18"/>
      <c r="C93" s="36" t="s">
        <v>186</v>
      </c>
      <c r="D93" s="18" t="s">
        <v>249</v>
      </c>
      <c r="E93" s="57">
        <v>303400</v>
      </c>
      <c r="F93" s="45">
        <v>307800</v>
      </c>
      <c r="G93" s="19">
        <v>311800</v>
      </c>
      <c r="H93" s="19">
        <v>310700</v>
      </c>
      <c r="I93" s="559">
        <v>379440</v>
      </c>
      <c r="J93" s="513">
        <v>395500</v>
      </c>
      <c r="K93" s="571"/>
    </row>
    <row r="94" spans="1:11" ht="13.5">
      <c r="A94" s="743"/>
      <c r="B94" s="18"/>
      <c r="C94" s="44" t="s">
        <v>324</v>
      </c>
      <c r="D94" s="18"/>
      <c r="E94" s="57"/>
      <c r="F94" s="45"/>
      <c r="G94" s="19"/>
      <c r="H94" s="19">
        <f>500*5%</f>
        <v>25</v>
      </c>
      <c r="I94" s="559"/>
      <c r="J94" s="513"/>
      <c r="K94" s="571"/>
    </row>
    <row r="95" spans="1:11" ht="13.5">
      <c r="A95" s="743"/>
      <c r="B95" s="18"/>
      <c r="C95" s="34" t="s">
        <v>523</v>
      </c>
      <c r="D95" s="21" t="s">
        <v>524</v>
      </c>
      <c r="E95" s="57"/>
      <c r="F95" s="45"/>
      <c r="G95" s="19"/>
      <c r="H95" s="19">
        <v>96772</v>
      </c>
      <c r="I95" s="559"/>
      <c r="J95" s="513">
        <v>11400</v>
      </c>
      <c r="K95" s="571"/>
    </row>
    <row r="96" spans="1:11" ht="13.5">
      <c r="A96" s="743"/>
      <c r="B96" s="18">
        <v>85212</v>
      </c>
      <c r="C96" s="36"/>
      <c r="D96" s="18" t="s">
        <v>232</v>
      </c>
      <c r="E96" s="57"/>
      <c r="F96" s="45">
        <f>F98</f>
        <v>3748000</v>
      </c>
      <c r="G96" s="19">
        <f>G98</f>
        <v>5076000</v>
      </c>
      <c r="H96" s="19">
        <f>H98</f>
        <v>5881000</v>
      </c>
      <c r="I96" s="559">
        <f>I98+I97</f>
        <v>5679200</v>
      </c>
      <c r="J96" s="513">
        <f>J98+J97</f>
        <v>5249800</v>
      </c>
      <c r="K96" s="571"/>
    </row>
    <row r="97" spans="1:11" ht="13.5">
      <c r="A97" s="743"/>
      <c r="B97" s="18"/>
      <c r="C97" s="36" t="s">
        <v>324</v>
      </c>
      <c r="D97" s="18"/>
      <c r="E97" s="57"/>
      <c r="F97" s="45"/>
      <c r="G97" s="19"/>
      <c r="H97" s="19"/>
      <c r="I97" s="559">
        <v>200</v>
      </c>
      <c r="J97" s="513">
        <f>5000*50%</f>
        <v>2500</v>
      </c>
      <c r="K97" s="571"/>
    </row>
    <row r="98" spans="1:11" ht="13.5">
      <c r="A98" s="743"/>
      <c r="B98" s="18"/>
      <c r="C98" s="36" t="s">
        <v>186</v>
      </c>
      <c r="D98" s="18" t="s">
        <v>249</v>
      </c>
      <c r="E98" s="57"/>
      <c r="F98" s="45">
        <v>3748000</v>
      </c>
      <c r="G98" s="19">
        <v>5076000</v>
      </c>
      <c r="H98" s="19">
        <v>5881000</v>
      </c>
      <c r="I98" s="559">
        <v>5679000</v>
      </c>
      <c r="J98" s="513">
        <v>5247300</v>
      </c>
      <c r="K98" s="571"/>
    </row>
    <row r="99" spans="1:11" ht="15">
      <c r="A99" s="743"/>
      <c r="B99" s="18">
        <v>85213</v>
      </c>
      <c r="C99" s="36"/>
      <c r="D99" s="16" t="s">
        <v>49</v>
      </c>
      <c r="E99" s="54">
        <f aca="true" t="shared" si="18" ref="E99:J99">E100</f>
        <v>29000</v>
      </c>
      <c r="F99" s="55">
        <f t="shared" si="18"/>
        <v>42200</v>
      </c>
      <c r="G99" s="17">
        <f t="shared" si="18"/>
        <v>25800</v>
      </c>
      <c r="H99" s="17">
        <f t="shared" si="18"/>
        <v>27800</v>
      </c>
      <c r="I99" s="558">
        <f t="shared" si="18"/>
        <v>34000</v>
      </c>
      <c r="J99" s="575">
        <f t="shared" si="18"/>
        <v>28480</v>
      </c>
      <c r="K99" s="571"/>
    </row>
    <row r="100" spans="1:11" ht="13.5">
      <c r="A100" s="743"/>
      <c r="B100" s="18"/>
      <c r="C100" s="36" t="s">
        <v>186</v>
      </c>
      <c r="D100" s="18" t="s">
        <v>249</v>
      </c>
      <c r="E100" s="57">
        <v>29000</v>
      </c>
      <c r="F100" s="45">
        <v>42200</v>
      </c>
      <c r="G100" s="19">
        <v>25800</v>
      </c>
      <c r="H100" s="19">
        <v>27800</v>
      </c>
      <c r="I100" s="559">
        <v>34000</v>
      </c>
      <c r="J100" s="513">
        <v>28480</v>
      </c>
      <c r="K100" s="571"/>
    </row>
    <row r="101" spans="1:11" ht="15">
      <c r="A101" s="743"/>
      <c r="B101" s="18">
        <v>85214</v>
      </c>
      <c r="C101" s="36"/>
      <c r="D101" s="16" t="s">
        <v>225</v>
      </c>
      <c r="E101" s="54">
        <f>E102</f>
        <v>525700</v>
      </c>
      <c r="F101" s="55">
        <f>F102+F103</f>
        <v>386500</v>
      </c>
      <c r="G101" s="17">
        <f>G102+G103</f>
        <v>561800</v>
      </c>
      <c r="H101" s="17">
        <f>H102+H103</f>
        <v>767100</v>
      </c>
      <c r="I101" s="558">
        <f>I102+I103</f>
        <v>1017000</v>
      </c>
      <c r="J101" s="575">
        <f>J102+J103</f>
        <v>658100</v>
      </c>
      <c r="K101" s="571"/>
    </row>
    <row r="102" spans="1:13" ht="13.5">
      <c r="A102" s="743"/>
      <c r="B102" s="18"/>
      <c r="C102" s="36" t="s">
        <v>186</v>
      </c>
      <c r="D102" s="18" t="s">
        <v>249</v>
      </c>
      <c r="E102" s="57">
        <v>525700</v>
      </c>
      <c r="F102" s="45">
        <v>237700</v>
      </c>
      <c r="G102" s="19">
        <v>206800</v>
      </c>
      <c r="H102" s="19">
        <v>183400</v>
      </c>
      <c r="I102" s="559">
        <v>259000</v>
      </c>
      <c r="J102" s="513">
        <v>213900</v>
      </c>
      <c r="K102" s="571"/>
      <c r="M102" s="316"/>
    </row>
    <row r="103" spans="1:11" ht="13.5">
      <c r="A103" s="743"/>
      <c r="B103" s="18"/>
      <c r="C103" s="36" t="s">
        <v>233</v>
      </c>
      <c r="D103" s="18" t="s">
        <v>19</v>
      </c>
      <c r="E103" s="57"/>
      <c r="F103" s="45">
        <v>148800</v>
      </c>
      <c r="G103" s="19">
        <v>355000</v>
      </c>
      <c r="H103" s="19">
        <v>583700</v>
      </c>
      <c r="I103" s="559">
        <v>758000</v>
      </c>
      <c r="J103" s="513">
        <v>444200</v>
      </c>
      <c r="K103" s="571"/>
    </row>
    <row r="104" spans="1:11" ht="15">
      <c r="A104" s="743"/>
      <c r="B104" s="18">
        <v>85216</v>
      </c>
      <c r="C104" s="36"/>
      <c r="D104" s="16" t="s">
        <v>226</v>
      </c>
      <c r="E104" s="54">
        <f aca="true" t="shared" si="19" ref="E104:J104">E105</f>
        <v>15000</v>
      </c>
      <c r="F104" s="55">
        <f t="shared" si="19"/>
        <v>0</v>
      </c>
      <c r="G104" s="17">
        <f t="shared" si="19"/>
        <v>0</v>
      </c>
      <c r="H104" s="17">
        <f t="shared" si="19"/>
        <v>0</v>
      </c>
      <c r="I104" s="558">
        <f t="shared" si="19"/>
        <v>0</v>
      </c>
      <c r="J104" s="575">
        <f t="shared" si="19"/>
        <v>0</v>
      </c>
      <c r="K104" s="571"/>
    </row>
    <row r="105" spans="1:11" ht="13.5">
      <c r="A105" s="743"/>
      <c r="B105" s="18"/>
      <c r="C105" s="36" t="s">
        <v>186</v>
      </c>
      <c r="D105" s="18" t="s">
        <v>249</v>
      </c>
      <c r="E105" s="57">
        <v>15000</v>
      </c>
      <c r="F105" s="45"/>
      <c r="G105" s="19"/>
      <c r="H105" s="19"/>
      <c r="I105" s="559"/>
      <c r="J105" s="513"/>
      <c r="K105" s="571"/>
    </row>
    <row r="106" spans="1:11" ht="15">
      <c r="A106" s="743"/>
      <c r="B106" s="18">
        <v>85219</v>
      </c>
      <c r="C106" s="36"/>
      <c r="D106" s="16" t="s">
        <v>97</v>
      </c>
      <c r="E106" s="54">
        <f>E107</f>
        <v>215000</v>
      </c>
      <c r="F106" s="55">
        <f>F107+F108</f>
        <v>219000</v>
      </c>
      <c r="G106" s="17">
        <f>G107+G108</f>
        <v>224000</v>
      </c>
      <c r="H106" s="17">
        <f>H107+H108</f>
        <v>239500</v>
      </c>
      <c r="I106" s="558">
        <f>I107+I108</f>
        <v>243000</v>
      </c>
      <c r="J106" s="575">
        <f>J107+J108</f>
        <v>246000</v>
      </c>
      <c r="K106" s="571"/>
    </row>
    <row r="107" spans="1:11" ht="13.5">
      <c r="A107" s="743"/>
      <c r="B107" s="18"/>
      <c r="C107" s="36" t="s">
        <v>186</v>
      </c>
      <c r="D107" s="18" t="s">
        <v>249</v>
      </c>
      <c r="E107" s="57">
        <v>215000</v>
      </c>
      <c r="F107" s="45"/>
      <c r="G107" s="19"/>
      <c r="H107" s="19"/>
      <c r="I107" s="559"/>
      <c r="J107" s="513"/>
      <c r="K107" s="571"/>
    </row>
    <row r="108" spans="1:11" ht="13.5">
      <c r="A108" s="743"/>
      <c r="B108" s="18"/>
      <c r="C108" s="36" t="s">
        <v>233</v>
      </c>
      <c r="D108" s="18" t="s">
        <v>19</v>
      </c>
      <c r="E108" s="57"/>
      <c r="F108" s="45">
        <v>219000</v>
      </c>
      <c r="G108" s="19">
        <v>224000</v>
      </c>
      <c r="H108" s="19">
        <v>239500</v>
      </c>
      <c r="I108" s="559">
        <v>243000</v>
      </c>
      <c r="J108" s="513">
        <v>246000</v>
      </c>
      <c r="K108" s="571"/>
    </row>
    <row r="109" spans="1:11" ht="15">
      <c r="A109" s="743"/>
      <c r="B109" s="18">
        <v>85228</v>
      </c>
      <c r="C109" s="36"/>
      <c r="D109" s="16" t="s">
        <v>227</v>
      </c>
      <c r="E109" s="54">
        <f aca="true" t="shared" si="20" ref="E109:J109">E110+E111</f>
        <v>31915</v>
      </c>
      <c r="F109" s="55">
        <f t="shared" si="20"/>
        <v>36180</v>
      </c>
      <c r="G109" s="17">
        <f t="shared" si="20"/>
        <v>43705</v>
      </c>
      <c r="H109" s="17">
        <f t="shared" si="20"/>
        <v>71930</v>
      </c>
      <c r="I109" s="558">
        <f t="shared" si="20"/>
        <v>80860</v>
      </c>
      <c r="J109" s="575">
        <f t="shared" si="20"/>
        <v>90395</v>
      </c>
      <c r="K109" s="571"/>
    </row>
    <row r="110" spans="1:11" ht="13.5">
      <c r="A110" s="743"/>
      <c r="B110" s="18"/>
      <c r="C110" s="36" t="s">
        <v>324</v>
      </c>
      <c r="D110" s="18"/>
      <c r="E110" s="57">
        <v>215</v>
      </c>
      <c r="F110" s="45">
        <f>3600*5%</f>
        <v>180</v>
      </c>
      <c r="G110" s="19">
        <v>205</v>
      </c>
      <c r="H110" s="19">
        <f>4600*5%</f>
        <v>230</v>
      </c>
      <c r="I110" s="559">
        <v>260</v>
      </c>
      <c r="J110" s="513">
        <f>5900*5%</f>
        <v>295</v>
      </c>
      <c r="K110" s="571"/>
    </row>
    <row r="111" spans="1:11" ht="13.5">
      <c r="A111" s="743"/>
      <c r="B111" s="18"/>
      <c r="C111" s="36" t="s">
        <v>186</v>
      </c>
      <c r="D111" s="18" t="s">
        <v>249</v>
      </c>
      <c r="E111" s="57">
        <v>31700</v>
      </c>
      <c r="F111" s="45">
        <v>36000</v>
      </c>
      <c r="G111" s="19">
        <v>43500</v>
      </c>
      <c r="H111" s="19">
        <v>71700</v>
      </c>
      <c r="I111" s="559">
        <v>80600</v>
      </c>
      <c r="J111" s="513">
        <v>90100</v>
      </c>
      <c r="K111" s="571"/>
    </row>
    <row r="112" spans="1:11" ht="13.5">
      <c r="A112" s="743"/>
      <c r="B112" s="18">
        <v>85295</v>
      </c>
      <c r="C112" s="36"/>
      <c r="D112" s="18" t="s">
        <v>27</v>
      </c>
      <c r="E112" s="57"/>
      <c r="F112" s="45"/>
      <c r="G112" s="19">
        <f>G113</f>
        <v>120700</v>
      </c>
      <c r="H112" s="19">
        <f>H113</f>
        <v>135800</v>
      </c>
      <c r="I112" s="559">
        <f>I113</f>
        <v>200000</v>
      </c>
      <c r="J112" s="513">
        <f>J113</f>
        <v>379000</v>
      </c>
      <c r="K112" s="571"/>
    </row>
    <row r="113" spans="1:11" ht="13.5">
      <c r="A113" s="743"/>
      <c r="B113" s="18"/>
      <c r="C113" s="36" t="s">
        <v>233</v>
      </c>
      <c r="D113" s="18" t="s">
        <v>19</v>
      </c>
      <c r="E113" s="57"/>
      <c r="F113" s="45"/>
      <c r="G113" s="19">
        <v>120700</v>
      </c>
      <c r="H113" s="19">
        <v>135800</v>
      </c>
      <c r="I113" s="559">
        <v>200000</v>
      </c>
      <c r="J113" s="513">
        <v>379000</v>
      </c>
      <c r="K113" s="571"/>
    </row>
    <row r="114" spans="1:11" ht="13.5">
      <c r="A114" s="149">
        <v>853</v>
      </c>
      <c r="B114" s="23"/>
      <c r="C114" s="35"/>
      <c r="D114" s="23"/>
      <c r="E114" s="136"/>
      <c r="F114" s="135"/>
      <c r="G114" s="30"/>
      <c r="H114" s="25" t="e">
        <f>H115</f>
        <v>#REF!</v>
      </c>
      <c r="I114" s="561">
        <f>I115</f>
        <v>319921.45</v>
      </c>
      <c r="J114" s="576">
        <f>J115</f>
        <v>0</v>
      </c>
      <c r="K114" s="571"/>
    </row>
    <row r="115" spans="1:11" ht="13.5">
      <c r="A115" s="150"/>
      <c r="B115" s="18">
        <v>85395</v>
      </c>
      <c r="C115" s="36"/>
      <c r="D115" s="18"/>
      <c r="E115" s="57"/>
      <c r="F115" s="45"/>
      <c r="G115" s="19"/>
      <c r="H115" s="19" t="e">
        <f>H116+#REF!</f>
        <v>#REF!</v>
      </c>
      <c r="I115" s="559">
        <f>I116</f>
        <v>319921.45</v>
      </c>
      <c r="J115" s="513">
        <f>J116</f>
        <v>0</v>
      </c>
      <c r="K115" s="571"/>
    </row>
    <row r="116" spans="1:11" ht="13.5">
      <c r="A116" s="150"/>
      <c r="B116" s="18"/>
      <c r="C116" s="36"/>
      <c r="D116" s="18"/>
      <c r="E116" s="57"/>
      <c r="F116" s="45"/>
      <c r="G116" s="19"/>
      <c r="H116" s="19">
        <v>100334</v>
      </c>
      <c r="I116" s="559">
        <v>319921.45</v>
      </c>
      <c r="J116" s="513"/>
      <c r="K116" s="571"/>
    </row>
    <row r="117" spans="1:11" ht="13.5">
      <c r="A117" s="739">
        <v>900</v>
      </c>
      <c r="B117" s="23"/>
      <c r="C117" s="35"/>
      <c r="D117" s="14" t="s">
        <v>10</v>
      </c>
      <c r="E117" s="50">
        <f aca="true" t="shared" si="21" ref="E117:J117">E118</f>
        <v>1000</v>
      </c>
      <c r="F117" s="50">
        <f t="shared" si="21"/>
        <v>2000</v>
      </c>
      <c r="G117" s="25">
        <f t="shared" si="21"/>
        <v>4000</v>
      </c>
      <c r="H117" s="25">
        <f t="shared" si="21"/>
        <v>2931879</v>
      </c>
      <c r="I117" s="561">
        <f t="shared" si="21"/>
        <v>2000</v>
      </c>
      <c r="J117" s="576">
        <f t="shared" si="21"/>
        <v>2200</v>
      </c>
      <c r="K117" s="571"/>
    </row>
    <row r="118" spans="1:11" ht="15">
      <c r="A118" s="740"/>
      <c r="B118" s="18">
        <v>90002</v>
      </c>
      <c r="C118" s="36"/>
      <c r="D118" s="61" t="s">
        <v>228</v>
      </c>
      <c r="E118" s="55">
        <f>E119</f>
        <v>1000</v>
      </c>
      <c r="F118" s="55">
        <f>F119</f>
        <v>2000</v>
      </c>
      <c r="G118" s="17">
        <f>G119+G120+G121</f>
        <v>4000</v>
      </c>
      <c r="H118" s="17">
        <f>H119+H120+H121</f>
        <v>2931879</v>
      </c>
      <c r="I118" s="558">
        <f>I119+I120+I121</f>
        <v>2000</v>
      </c>
      <c r="J118" s="575">
        <f>J119+J120+J121</f>
        <v>2200</v>
      </c>
      <c r="K118" s="571"/>
    </row>
    <row r="119" spans="1:11" ht="13.5">
      <c r="A119" s="740"/>
      <c r="B119" s="18"/>
      <c r="C119" s="36" t="s">
        <v>229</v>
      </c>
      <c r="D119" s="56" t="s">
        <v>230</v>
      </c>
      <c r="E119" s="45">
        <v>1000</v>
      </c>
      <c r="F119" s="45">
        <v>2000</v>
      </c>
      <c r="G119" s="19">
        <v>4000</v>
      </c>
      <c r="H119" s="19">
        <v>2000</v>
      </c>
      <c r="I119" s="559">
        <v>2000</v>
      </c>
      <c r="J119" s="513">
        <v>2200</v>
      </c>
      <c r="K119" s="571"/>
    </row>
    <row r="120" spans="1:11" ht="13.5">
      <c r="A120" s="31"/>
      <c r="B120" s="18"/>
      <c r="C120" s="36" t="s">
        <v>257</v>
      </c>
      <c r="D120" s="56" t="s">
        <v>258</v>
      </c>
      <c r="E120" s="45"/>
      <c r="F120" s="45"/>
      <c r="G120" s="19"/>
      <c r="H120" s="19">
        <v>1077544</v>
      </c>
      <c r="I120" s="559"/>
      <c r="J120" s="513"/>
      <c r="K120" s="571"/>
    </row>
    <row r="121" spans="1:11" ht="13.5">
      <c r="A121" s="33"/>
      <c r="B121" s="21"/>
      <c r="C121" s="46" t="s">
        <v>185</v>
      </c>
      <c r="D121" s="21" t="s">
        <v>248</v>
      </c>
      <c r="E121" s="47"/>
      <c r="F121" s="47"/>
      <c r="G121" s="22"/>
      <c r="H121" s="22">
        <v>1852335</v>
      </c>
      <c r="I121" s="560"/>
      <c r="J121" s="512"/>
      <c r="K121" s="571"/>
    </row>
    <row r="122" spans="1:11" ht="13.5">
      <c r="A122" s="738">
        <v>921</v>
      </c>
      <c r="B122" s="41"/>
      <c r="C122" s="36"/>
      <c r="D122" s="31" t="s">
        <v>11</v>
      </c>
      <c r="E122" s="62">
        <f>E128</f>
        <v>10000</v>
      </c>
      <c r="F122" s="63">
        <f>F128</f>
        <v>5000</v>
      </c>
      <c r="G122" s="62">
        <f>G128+G123+G125</f>
        <v>643937</v>
      </c>
      <c r="H122" s="62">
        <f>H128+H123+H125</f>
        <v>70199</v>
      </c>
      <c r="I122" s="567">
        <f>I128+I123+I125</f>
        <v>15000</v>
      </c>
      <c r="J122" s="581">
        <f>J128+J123+J125</f>
        <v>15000</v>
      </c>
      <c r="K122" s="571"/>
    </row>
    <row r="123" spans="1:11" ht="13.5">
      <c r="A123" s="738"/>
      <c r="B123" s="64">
        <v>92109</v>
      </c>
      <c r="C123" s="27"/>
      <c r="D123" s="51" t="s">
        <v>61</v>
      </c>
      <c r="E123" s="62"/>
      <c r="F123" s="63"/>
      <c r="G123" s="45">
        <f>G124</f>
        <v>304918</v>
      </c>
      <c r="H123" s="45">
        <f>H124</f>
        <v>65199</v>
      </c>
      <c r="I123" s="562">
        <f>I124</f>
        <v>0</v>
      </c>
      <c r="J123" s="553">
        <f>J124</f>
        <v>0</v>
      </c>
      <c r="K123" s="571"/>
    </row>
    <row r="124" spans="1:11" ht="13.5">
      <c r="A124" s="738"/>
      <c r="B124" s="64"/>
      <c r="C124" s="27"/>
      <c r="D124" s="64" t="s">
        <v>248</v>
      </c>
      <c r="E124" s="62"/>
      <c r="F124" s="63"/>
      <c r="G124" s="45">
        <v>304918</v>
      </c>
      <c r="H124" s="45">
        <v>65199</v>
      </c>
      <c r="I124" s="562"/>
      <c r="J124" s="553"/>
      <c r="K124" s="571"/>
    </row>
    <row r="125" spans="1:11" ht="13.5">
      <c r="A125" s="738"/>
      <c r="B125" s="64">
        <v>92116</v>
      </c>
      <c r="C125" s="27"/>
      <c r="D125" s="51" t="s">
        <v>62</v>
      </c>
      <c r="E125" s="62"/>
      <c r="F125" s="63"/>
      <c r="G125" s="45">
        <f>G126</f>
        <v>334019</v>
      </c>
      <c r="H125" s="45">
        <f>H126</f>
        <v>0</v>
      </c>
      <c r="I125" s="562">
        <f>I126+I127</f>
        <v>10000</v>
      </c>
      <c r="J125" s="553">
        <f>J126+J127</f>
        <v>10000</v>
      </c>
      <c r="K125" s="571"/>
    </row>
    <row r="126" spans="1:11" ht="13.5">
      <c r="A126" s="738"/>
      <c r="B126" s="64"/>
      <c r="C126" s="27" t="s">
        <v>247</v>
      </c>
      <c r="D126" s="64" t="s">
        <v>248</v>
      </c>
      <c r="E126" s="62"/>
      <c r="F126" s="63"/>
      <c r="G126" s="45">
        <v>334019</v>
      </c>
      <c r="H126" s="45"/>
      <c r="I126" s="562"/>
      <c r="J126" s="553"/>
      <c r="K126" s="571"/>
    </row>
    <row r="127" spans="1:11" ht="13.5">
      <c r="A127" s="738"/>
      <c r="B127" s="64"/>
      <c r="C127" s="27" t="s">
        <v>443</v>
      </c>
      <c r="D127" s="86" t="s">
        <v>444</v>
      </c>
      <c r="E127" s="62"/>
      <c r="F127" s="63"/>
      <c r="G127" s="45"/>
      <c r="H127" s="45"/>
      <c r="I127" s="562">
        <v>10000</v>
      </c>
      <c r="J127" s="553">
        <v>10000</v>
      </c>
      <c r="K127" s="571"/>
    </row>
    <row r="128" spans="1:11" ht="15">
      <c r="A128" s="738"/>
      <c r="B128" s="64">
        <v>92195</v>
      </c>
      <c r="C128" s="27"/>
      <c r="D128" s="51" t="s">
        <v>27</v>
      </c>
      <c r="E128" s="55">
        <f aca="true" t="shared" si="22" ref="E128:J128">E129</f>
        <v>10000</v>
      </c>
      <c r="F128" s="54">
        <f t="shared" si="22"/>
        <v>5000</v>
      </c>
      <c r="G128" s="55">
        <f t="shared" si="22"/>
        <v>5000</v>
      </c>
      <c r="H128" s="55">
        <f t="shared" si="22"/>
        <v>5000</v>
      </c>
      <c r="I128" s="566">
        <f t="shared" si="22"/>
        <v>5000</v>
      </c>
      <c r="J128" s="579">
        <f t="shared" si="22"/>
        <v>5000</v>
      </c>
      <c r="K128" s="571"/>
    </row>
    <row r="129" spans="1:11" ht="14.25" customHeight="1">
      <c r="A129" s="738"/>
      <c r="B129" s="41"/>
      <c r="C129" s="36" t="s">
        <v>231</v>
      </c>
      <c r="D129" s="86" t="s">
        <v>256</v>
      </c>
      <c r="E129" s="45">
        <v>10000</v>
      </c>
      <c r="F129" s="57">
        <v>5000</v>
      </c>
      <c r="G129" s="45">
        <v>5000</v>
      </c>
      <c r="H129" s="45">
        <v>5000</v>
      </c>
      <c r="I129" s="562">
        <v>5000</v>
      </c>
      <c r="J129" s="553">
        <v>5000</v>
      </c>
      <c r="K129" s="571"/>
    </row>
    <row r="130" spans="1:11" ht="14.25" customHeight="1">
      <c r="A130" s="28">
        <v>926</v>
      </c>
      <c r="B130" s="23"/>
      <c r="C130" s="35"/>
      <c r="D130" s="14" t="s">
        <v>63</v>
      </c>
      <c r="E130" s="136"/>
      <c r="F130" s="135"/>
      <c r="G130" s="30">
        <f aca="true" t="shared" si="23" ref="G130:J131">G131</f>
        <v>37000</v>
      </c>
      <c r="H130" s="30">
        <f t="shared" si="23"/>
        <v>0</v>
      </c>
      <c r="I130" s="568">
        <f t="shared" si="23"/>
        <v>0</v>
      </c>
      <c r="J130" s="552">
        <f t="shared" si="23"/>
        <v>0</v>
      </c>
      <c r="K130" s="571"/>
    </row>
    <row r="131" spans="1:11" ht="14.25" customHeight="1">
      <c r="A131" s="31"/>
      <c r="B131" s="18">
        <v>92605</v>
      </c>
      <c r="C131" s="36"/>
      <c r="D131" s="18" t="s">
        <v>296</v>
      </c>
      <c r="E131" s="57"/>
      <c r="F131" s="45"/>
      <c r="G131" s="19">
        <f t="shared" si="23"/>
        <v>37000</v>
      </c>
      <c r="H131" s="19">
        <f t="shared" si="23"/>
        <v>0</v>
      </c>
      <c r="I131" s="559">
        <f t="shared" si="23"/>
        <v>0</v>
      </c>
      <c r="J131" s="513">
        <f t="shared" si="23"/>
        <v>0</v>
      </c>
      <c r="K131" s="571"/>
    </row>
    <row r="132" spans="1:11" ht="14.25" customHeight="1">
      <c r="A132" s="33"/>
      <c r="B132" s="21"/>
      <c r="C132" s="34" t="s">
        <v>295</v>
      </c>
      <c r="D132" s="21" t="s">
        <v>297</v>
      </c>
      <c r="E132" s="59"/>
      <c r="F132" s="47"/>
      <c r="G132" s="22">
        <v>37000</v>
      </c>
      <c r="H132" s="22"/>
      <c r="I132" s="560"/>
      <c r="J132" s="512"/>
      <c r="K132" s="571"/>
    </row>
    <row r="133" spans="1:11" ht="13.5">
      <c r="A133" s="21"/>
      <c r="B133" s="60"/>
      <c r="C133" s="20"/>
      <c r="D133" s="60" t="s">
        <v>12</v>
      </c>
      <c r="E133" s="65" t="e">
        <f>E122+E117+E91+E78+E69+E39+E33+E25+E22+E15+E8+E4+E36</f>
        <v>#REF!</v>
      </c>
      <c r="F133" s="65" t="e">
        <f>F122+F117+F91+F78+F69+F39+F33+F25+F22+F15+F8+F4+F36</f>
        <v>#REF!</v>
      </c>
      <c r="G133" s="65" t="e">
        <f>G122+G117+G91+G78+G69+G39+G33+G25+G22+G15+G8+G4+G36+G12+G130</f>
        <v>#REF!</v>
      </c>
      <c r="H133" s="65" t="e">
        <f>H122+H117+H91+H78+H69+H39+H33+H25+H22+H15+H8+H4+H36+H12+H130+H114</f>
        <v>#REF!</v>
      </c>
      <c r="I133" s="569">
        <f>I122+I117+I91+I78+I69+I39+I33+I25+I22+I15+I8+I4+I36+I12+I130+I114</f>
        <v>36910888.6</v>
      </c>
      <c r="J133" s="582">
        <f>J122+J117+J91+J78+J69+J39+J33+J25+J22+J15+J8+J4+J36+J12+J130+J114</f>
        <v>42949786.94</v>
      </c>
      <c r="K133" s="571"/>
    </row>
    <row r="134" ht="13.5">
      <c r="K134" s="571"/>
    </row>
    <row r="135" ht="13.5">
      <c r="K135" s="571"/>
    </row>
    <row r="136" ht="13.5">
      <c r="K136" s="571"/>
    </row>
    <row r="137" ht="13.5">
      <c r="K137" s="571"/>
    </row>
    <row r="138" ht="13.5">
      <c r="K138" s="571"/>
    </row>
    <row r="139" ht="13.5">
      <c r="K139" s="571"/>
    </row>
    <row r="140" ht="13.5">
      <c r="K140" s="571"/>
    </row>
    <row r="141" ht="13.5">
      <c r="K141" s="571"/>
    </row>
    <row r="142" ht="13.5">
      <c r="K142" s="571"/>
    </row>
    <row r="143" ht="13.5">
      <c r="K143" s="571"/>
    </row>
    <row r="144" ht="13.5">
      <c r="K144" s="571"/>
    </row>
  </sheetData>
  <mergeCells count="11">
    <mergeCell ref="A117:A119"/>
    <mergeCell ref="A122:A129"/>
    <mergeCell ref="A33:A35"/>
    <mergeCell ref="A36:A38"/>
    <mergeCell ref="A69:A77"/>
    <mergeCell ref="A78:A90"/>
    <mergeCell ref="A91:A113"/>
    <mergeCell ref="A4:A7"/>
    <mergeCell ref="A8:A11"/>
    <mergeCell ref="A15:A20"/>
    <mergeCell ref="A25:A31"/>
  </mergeCells>
  <printOptions/>
  <pageMargins left="0.29" right="0.31" top="0.32" bottom="0.38" header="0.24" footer="0.2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8"/>
  <sheetViews>
    <sheetView showGridLines="0" workbookViewId="0" topLeftCell="A1">
      <selection activeCell="A19" sqref="A19:IV26"/>
    </sheetView>
  </sheetViews>
  <sheetFormatPr defaultColWidth="9.00390625" defaultRowHeight="12.75" customHeight="1"/>
  <cols>
    <col min="1" max="1" width="5.00390625" style="91" customWidth="1"/>
    <col min="2" max="2" width="51.375" style="3" customWidth="1"/>
    <col min="3" max="3" width="14.125" style="1" customWidth="1"/>
    <col min="4" max="16384" width="9.125" style="1" customWidth="1"/>
  </cols>
  <sheetData>
    <row r="1" spans="1:2" ht="12.75" customHeight="1">
      <c r="A1" s="725" t="s">
        <v>155</v>
      </c>
      <c r="B1" s="725"/>
    </row>
    <row r="2" spans="1:2" ht="12.75" customHeight="1">
      <c r="A2" s="693" t="s">
        <v>351</v>
      </c>
      <c r="B2" s="693"/>
    </row>
    <row r="3" ht="6.75" customHeight="1"/>
    <row r="4" spans="1:3" ht="12.75" customHeight="1">
      <c r="A4" s="280" t="s">
        <v>1</v>
      </c>
      <c r="B4" s="281" t="s">
        <v>2</v>
      </c>
      <c r="C4" s="229" t="s">
        <v>521</v>
      </c>
    </row>
    <row r="5" spans="1:3" ht="12.75" customHeight="1">
      <c r="A5" s="282" t="s">
        <v>69</v>
      </c>
      <c r="B5" s="8" t="s">
        <v>3</v>
      </c>
      <c r="C5" s="198">
        <f>'Dochody wg §'!J4</f>
        <v>17000</v>
      </c>
    </row>
    <row r="6" spans="1:3" ht="12.75" customHeight="1">
      <c r="A6" s="87">
        <v>630</v>
      </c>
      <c r="B6" s="8" t="s">
        <v>5</v>
      </c>
      <c r="C6" s="198">
        <f>'Dochody wg §'!J8</f>
        <v>192000</v>
      </c>
    </row>
    <row r="7" spans="1:3" ht="12.75" customHeight="1">
      <c r="A7" s="87">
        <v>700</v>
      </c>
      <c r="B7" s="8" t="s">
        <v>6</v>
      </c>
      <c r="C7" s="198">
        <f>'Dochody wg §'!J15</f>
        <v>2769930</v>
      </c>
    </row>
    <row r="8" spans="1:3" ht="12.75" customHeight="1">
      <c r="A8" s="87">
        <v>710</v>
      </c>
      <c r="B8" s="8" t="s">
        <v>32</v>
      </c>
      <c r="C8" s="198">
        <f>'Dochody wg §'!J22</f>
        <v>18000</v>
      </c>
    </row>
    <row r="9" spans="1:3" ht="12.75" customHeight="1">
      <c r="A9" s="87">
        <v>750</v>
      </c>
      <c r="B9" s="8" t="s">
        <v>7</v>
      </c>
      <c r="C9" s="198">
        <f>'Dochody wg §'!J25</f>
        <v>178118</v>
      </c>
    </row>
    <row r="10" spans="1:3" ht="12.75" customHeight="1">
      <c r="A10" s="87">
        <v>751</v>
      </c>
      <c r="B10" s="8" t="s">
        <v>349</v>
      </c>
      <c r="C10" s="198">
        <f>'Dochody wg §'!J33</f>
        <v>2946</v>
      </c>
    </row>
    <row r="11" spans="1:3" ht="12.75" customHeight="1">
      <c r="A11" s="87">
        <v>756</v>
      </c>
      <c r="B11" s="8" t="s">
        <v>154</v>
      </c>
      <c r="C11" s="198">
        <f>'Dochody wg §'!J39</f>
        <v>12557523</v>
      </c>
    </row>
    <row r="12" spans="1:3" ht="12.75" customHeight="1">
      <c r="A12" s="87">
        <v>758</v>
      </c>
      <c r="B12" s="8" t="s">
        <v>8</v>
      </c>
      <c r="C12" s="198">
        <f>'Dochody wg §'!J69</f>
        <v>18018041</v>
      </c>
    </row>
    <row r="13" spans="1:3" ht="12.75" customHeight="1">
      <c r="A13" s="87">
        <v>801</v>
      </c>
      <c r="B13" s="8" t="s">
        <v>9</v>
      </c>
      <c r="C13" s="198">
        <f>'Dochody wg §'!J78</f>
        <v>2120353.94</v>
      </c>
    </row>
    <row r="14" spans="1:3" ht="12.75" customHeight="1">
      <c r="A14" s="87">
        <v>852</v>
      </c>
      <c r="B14" s="8" t="s">
        <v>106</v>
      </c>
      <c r="C14" s="198">
        <f>'Dochody wg §'!J91</f>
        <v>7058675</v>
      </c>
    </row>
    <row r="15" spans="1:3" ht="12.75" customHeight="1">
      <c r="A15" s="87">
        <v>900</v>
      </c>
      <c r="B15" s="8" t="s">
        <v>10</v>
      </c>
      <c r="C15" s="198">
        <f>'Dochody wg §'!J117</f>
        <v>2200</v>
      </c>
    </row>
    <row r="16" spans="1:3" ht="12.75" customHeight="1">
      <c r="A16" s="87">
        <v>921</v>
      </c>
      <c r="B16" s="8" t="s">
        <v>11</v>
      </c>
      <c r="C16" s="198">
        <f>'Dochody wg §'!J122</f>
        <v>15000</v>
      </c>
    </row>
    <row r="17" spans="1:3" ht="12.75" customHeight="1">
      <c r="A17" s="283"/>
      <c r="B17" s="281" t="s">
        <v>12</v>
      </c>
      <c r="C17" s="240">
        <f>SUM(C5:C16)</f>
        <v>42949786.94</v>
      </c>
    </row>
    <row r="19" ht="12.75" customHeight="1" hidden="1">
      <c r="B19" s="196"/>
    </row>
    <row r="20" spans="2:3" ht="12.75" customHeight="1" hidden="1">
      <c r="B20" s="196"/>
      <c r="C20" s="583">
        <f>'Dochody wg §'!J133</f>
        <v>42949786.94</v>
      </c>
    </row>
    <row r="21" spans="2:3" ht="12.75" customHeight="1" hidden="1">
      <c r="B21" s="196"/>
      <c r="C21" s="583">
        <f>C17</f>
        <v>42949786.94</v>
      </c>
    </row>
    <row r="22" spans="2:3" ht="12.75" customHeight="1" hidden="1">
      <c r="B22" s="600">
        <f>C22-C21</f>
        <v>-7184194</v>
      </c>
      <c r="C22" s="583">
        <f>Dochody!D63</f>
        <v>35765592.94</v>
      </c>
    </row>
    <row r="23" spans="2:3" ht="12.75" customHeight="1" hidden="1">
      <c r="B23" s="196"/>
      <c r="C23" s="584"/>
    </row>
    <row r="24" ht="12.75" customHeight="1" hidden="1">
      <c r="C24" s="583">
        <f>Wydatki!C273</f>
        <v>52202013.34</v>
      </c>
    </row>
    <row r="25" ht="12.75" customHeight="1" hidden="1">
      <c r="C25" s="584"/>
    </row>
    <row r="26" ht="12.75" customHeight="1" hidden="1">
      <c r="C26" s="583">
        <f>C24-C22</f>
        <v>16436420.4</v>
      </c>
    </row>
    <row r="27" ht="12.75" customHeight="1">
      <c r="C27" s="584"/>
    </row>
    <row r="28" ht="12.75" customHeight="1">
      <c r="C28" s="584"/>
    </row>
  </sheetData>
  <mergeCells count="2">
    <mergeCell ref="A2:B2"/>
    <mergeCell ref="A1:B1"/>
  </mergeCells>
  <printOptions/>
  <pageMargins left="0.85" right="0.36" top="0.63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4"/>
  <sheetViews>
    <sheetView showGridLines="0" workbookViewId="0" topLeftCell="A1">
      <selection activeCell="D57" sqref="D57"/>
    </sheetView>
  </sheetViews>
  <sheetFormatPr defaultColWidth="9.00390625" defaultRowHeight="12.75" customHeight="1"/>
  <cols>
    <col min="1" max="2" width="5.00390625" style="91" customWidth="1"/>
    <col min="3" max="3" width="51.375" style="3" customWidth="1"/>
    <col min="4" max="4" width="14.00390625" style="197" customWidth="1"/>
    <col min="5" max="5" width="9.125" style="1" customWidth="1"/>
    <col min="6" max="6" width="16.625" style="412" customWidth="1"/>
    <col min="7" max="7" width="6.75390625" style="411" hidden="1" customWidth="1"/>
    <col min="8" max="8" width="13.75390625" style="1" hidden="1" customWidth="1"/>
    <col min="9" max="10" width="16.75390625" style="1" hidden="1" customWidth="1"/>
    <col min="11" max="11" width="0" style="1" hidden="1" customWidth="1"/>
    <col min="12" max="16384" width="9.125" style="1" customWidth="1"/>
  </cols>
  <sheetData>
    <row r="1" spans="1:4" ht="12.75" customHeight="1">
      <c r="A1" s="725" t="s">
        <v>156</v>
      </c>
      <c r="B1" s="725"/>
      <c r="C1" s="725"/>
      <c r="D1" s="1"/>
    </row>
    <row r="2" spans="1:4" ht="12.75" customHeight="1">
      <c r="A2" s="693" t="s">
        <v>352</v>
      </c>
      <c r="B2" s="693"/>
      <c r="C2" s="693"/>
      <c r="D2" s="1"/>
    </row>
    <row r="3" ht="6" customHeight="1"/>
    <row r="4" spans="1:4" ht="12.75" customHeight="1">
      <c r="A4" s="280" t="s">
        <v>0</v>
      </c>
      <c r="B4" s="280" t="s">
        <v>1</v>
      </c>
      <c r="C4" s="231" t="s">
        <v>2</v>
      </c>
      <c r="D4" s="232" t="s">
        <v>521</v>
      </c>
    </row>
    <row r="5" spans="1:8" ht="12.75" customHeight="1">
      <c r="A5" s="697" t="s">
        <v>445</v>
      </c>
      <c r="B5" s="698"/>
      <c r="C5" s="291" t="s">
        <v>446</v>
      </c>
      <c r="D5" s="232">
        <f>D6+D19+D22+D33+D37+D23</f>
        <v>31817741.34</v>
      </c>
      <c r="G5" s="693"/>
      <c r="H5" s="693"/>
    </row>
    <row r="6" spans="1:9" ht="12.75" customHeight="1">
      <c r="A6" s="149">
        <v>1</v>
      </c>
      <c r="B6" s="158"/>
      <c r="C6" s="448" t="s">
        <v>310</v>
      </c>
      <c r="D6" s="200">
        <f>D7+D8+D9+D10+D11+D12+D13+D14+D15+D16+D17+D18</f>
        <v>6550000</v>
      </c>
      <c r="G6" s="91"/>
      <c r="H6" s="3"/>
      <c r="I6" s="1" t="s">
        <v>519</v>
      </c>
    </row>
    <row r="7" spans="1:10" ht="12.75" customHeight="1">
      <c r="A7" s="156"/>
      <c r="B7" s="151">
        <v>756</v>
      </c>
      <c r="C7" s="445" t="s">
        <v>192</v>
      </c>
      <c r="D7" s="201">
        <f>'Dochody wg §'!J43+'Dochody wg §'!J52</f>
        <v>4880000</v>
      </c>
      <c r="G7" s="280" t="s">
        <v>1</v>
      </c>
      <c r="H7" s="281" t="s">
        <v>2</v>
      </c>
      <c r="I7" s="229" t="s">
        <v>440</v>
      </c>
      <c r="J7" s="229" t="s">
        <v>440</v>
      </c>
    </row>
    <row r="8" spans="1:11" ht="12.75" customHeight="1">
      <c r="A8" s="156"/>
      <c r="B8" s="151">
        <v>756</v>
      </c>
      <c r="C8" s="445" t="s">
        <v>194</v>
      </c>
      <c r="D8" s="201">
        <f>+'Dochody wg §'!J44+'Dochody wg §'!J53</f>
        <v>320000</v>
      </c>
      <c r="G8" s="282" t="s">
        <v>69</v>
      </c>
      <c r="H8" s="8" t="s">
        <v>3</v>
      </c>
      <c r="I8" s="198">
        <v>27000</v>
      </c>
      <c r="J8" s="198">
        <f>D43+D42</f>
        <v>17000</v>
      </c>
      <c r="K8" s="451">
        <f>I8-J8</f>
        <v>10000</v>
      </c>
    </row>
    <row r="9" spans="1:11" ht="12.75" customHeight="1">
      <c r="A9" s="156"/>
      <c r="B9" s="151">
        <v>756</v>
      </c>
      <c r="C9" s="445" t="s">
        <v>13</v>
      </c>
      <c r="D9" s="201">
        <f>+'Dochody wg §'!J45+'Dochody wg §'!J54</f>
        <v>466000</v>
      </c>
      <c r="G9" s="87">
        <v>630</v>
      </c>
      <c r="H9" s="8" t="s">
        <v>5</v>
      </c>
      <c r="I9" s="198">
        <v>25200</v>
      </c>
      <c r="J9" s="198">
        <f>D41</f>
        <v>26000</v>
      </c>
      <c r="K9" s="451">
        <f aca="true" t="shared" si="0" ref="K9:K21">I9-J9</f>
        <v>-800</v>
      </c>
    </row>
    <row r="10" spans="1:11" ht="12.75" customHeight="1">
      <c r="A10" s="156"/>
      <c r="B10" s="151">
        <v>756</v>
      </c>
      <c r="C10" s="445" t="s">
        <v>311</v>
      </c>
      <c r="D10" s="201">
        <f>'Dochody wg §'!J46+'Dochody wg §'!J55</f>
        <v>180000</v>
      </c>
      <c r="G10" s="87">
        <v>600</v>
      </c>
      <c r="H10" s="23" t="s">
        <v>4</v>
      </c>
      <c r="I10" s="198">
        <v>0</v>
      </c>
      <c r="J10" s="198"/>
      <c r="K10" s="451">
        <f t="shared" si="0"/>
        <v>0</v>
      </c>
    </row>
    <row r="11" spans="1:11" ht="12.75" customHeight="1">
      <c r="A11" s="156"/>
      <c r="B11" s="151">
        <v>756</v>
      </c>
      <c r="C11" s="445" t="s">
        <v>21</v>
      </c>
      <c r="D11" s="201">
        <f>'Dochody wg §'!J41</f>
        <v>30000</v>
      </c>
      <c r="G11" s="87">
        <v>700</v>
      </c>
      <c r="H11" s="8" t="s">
        <v>6</v>
      </c>
      <c r="I11" s="198">
        <v>659000</v>
      </c>
      <c r="J11" s="198">
        <f>D22+D60</f>
        <v>2749930</v>
      </c>
      <c r="K11" s="451">
        <f t="shared" si="0"/>
        <v>-2090930</v>
      </c>
    </row>
    <row r="12" spans="1:11" ht="12.75" customHeight="1">
      <c r="A12" s="156"/>
      <c r="B12" s="151">
        <v>756</v>
      </c>
      <c r="C12" s="446" t="s">
        <v>312</v>
      </c>
      <c r="D12" s="201">
        <f>'Dochody wg §'!J57</f>
        <v>6000</v>
      </c>
      <c r="G12" s="87">
        <v>710</v>
      </c>
      <c r="H12" s="8" t="s">
        <v>32</v>
      </c>
      <c r="I12" s="198">
        <v>18000</v>
      </c>
      <c r="J12" s="198">
        <f>D44</f>
        <v>18000</v>
      </c>
      <c r="K12" s="451">
        <f t="shared" si="0"/>
        <v>0</v>
      </c>
    </row>
    <row r="13" spans="1:11" ht="12.75" customHeight="1">
      <c r="A13" s="156"/>
      <c r="B13" s="151">
        <v>756</v>
      </c>
      <c r="C13" s="445" t="s">
        <v>14</v>
      </c>
      <c r="D13" s="201">
        <f>'Dochody wg §'!J56</f>
        <v>15000</v>
      </c>
      <c r="G13" s="87">
        <v>750</v>
      </c>
      <c r="H13" s="8" t="s">
        <v>7</v>
      </c>
      <c r="I13" s="198">
        <v>166725</v>
      </c>
      <c r="J13" s="198">
        <f>D48+D45+D25+D53</f>
        <v>178118</v>
      </c>
      <c r="K13" s="451">
        <f t="shared" si="0"/>
        <v>-11393</v>
      </c>
    </row>
    <row r="14" spans="1:11" ht="12.75" customHeight="1">
      <c r="A14" s="156"/>
      <c r="B14" s="151">
        <v>756</v>
      </c>
      <c r="C14" s="445" t="s">
        <v>15</v>
      </c>
      <c r="D14" s="201">
        <f>'Dochody wg §'!J48+'Dochody wg §'!J60</f>
        <v>240000</v>
      </c>
      <c r="G14" s="87">
        <v>751</v>
      </c>
      <c r="H14" s="8" t="s">
        <v>349</v>
      </c>
      <c r="I14" s="198">
        <v>2958</v>
      </c>
      <c r="J14" s="198">
        <f>D26</f>
        <v>2946</v>
      </c>
      <c r="K14" s="451">
        <f t="shared" si="0"/>
        <v>12</v>
      </c>
    </row>
    <row r="15" spans="1:11" ht="12.75" customHeight="1">
      <c r="A15" s="156"/>
      <c r="B15" s="151">
        <v>756</v>
      </c>
      <c r="C15" s="445" t="s">
        <v>87</v>
      </c>
      <c r="D15" s="201">
        <f>'Dochody wg §'!J63</f>
        <v>200000</v>
      </c>
      <c r="G15" s="87">
        <v>756</v>
      </c>
      <c r="H15" s="8" t="s">
        <v>154</v>
      </c>
      <c r="I15" s="198">
        <v>11380573</v>
      </c>
      <c r="J15" s="198">
        <f>D6+D19+D51+D49+D46</f>
        <v>12557523</v>
      </c>
      <c r="K15" s="451">
        <f t="shared" si="0"/>
        <v>-1176950</v>
      </c>
    </row>
    <row r="16" spans="1:11" ht="12.75" customHeight="1">
      <c r="A16" s="156"/>
      <c r="B16" s="151">
        <v>756</v>
      </c>
      <c r="C16" s="445" t="s">
        <v>313</v>
      </c>
      <c r="D16" s="201">
        <f>'Dochody wg §'!J58</f>
        <v>110000</v>
      </c>
      <c r="G16" s="87">
        <v>758</v>
      </c>
      <c r="H16" s="8" t="s">
        <v>8</v>
      </c>
      <c r="I16" s="198">
        <v>14838966</v>
      </c>
      <c r="J16" s="198">
        <f>D33+D50</f>
        <v>18018041</v>
      </c>
      <c r="K16" s="451">
        <f t="shared" si="0"/>
        <v>-3179075</v>
      </c>
    </row>
    <row r="17" spans="1:11" ht="12.75" customHeight="1">
      <c r="A17" s="156"/>
      <c r="B17" s="151">
        <v>756</v>
      </c>
      <c r="C17" s="446" t="s">
        <v>314</v>
      </c>
      <c r="D17" s="201">
        <f>'Dochody wg §'!J59+'Dochody wg §'!J47</f>
        <v>5000</v>
      </c>
      <c r="G17" s="87">
        <v>801</v>
      </c>
      <c r="H17" s="8" t="s">
        <v>9</v>
      </c>
      <c r="I17" s="198">
        <v>1822045.15</v>
      </c>
      <c r="J17" s="198">
        <f>D39+D57+D62</f>
        <v>1893921.6</v>
      </c>
      <c r="K17" s="451">
        <f t="shared" si="0"/>
        <v>-71876.45</v>
      </c>
    </row>
    <row r="18" spans="1:11" ht="12.75" customHeight="1">
      <c r="A18" s="125"/>
      <c r="B18" s="11">
        <v>756</v>
      </c>
      <c r="C18" s="447" t="s">
        <v>16</v>
      </c>
      <c r="D18" s="202">
        <f>'Dochody wg §'!J64</f>
        <v>98000</v>
      </c>
      <c r="G18" s="87">
        <v>852</v>
      </c>
      <c r="H18" s="8" t="s">
        <v>106</v>
      </c>
      <c r="I18" s="198">
        <v>7633500</v>
      </c>
      <c r="J18" s="198">
        <f>D27+D28+D54</f>
        <v>5978075</v>
      </c>
      <c r="K18" s="451">
        <f t="shared" si="0"/>
        <v>1655425</v>
      </c>
    </row>
    <row r="19" spans="1:11" ht="12.75" customHeight="1">
      <c r="A19" s="158">
        <v>2</v>
      </c>
      <c r="B19" s="444"/>
      <c r="C19" s="187" t="s">
        <v>265</v>
      </c>
      <c r="D19" s="203">
        <f>D20+D21</f>
        <v>5558363</v>
      </c>
      <c r="G19" s="87">
        <v>853</v>
      </c>
      <c r="H19" s="8" t="s">
        <v>348</v>
      </c>
      <c r="I19" s="198">
        <v>319921.45</v>
      </c>
      <c r="J19" s="198" t="e">
        <f>#REF!</f>
        <v>#REF!</v>
      </c>
      <c r="K19" s="451" t="e">
        <f t="shared" si="0"/>
        <v>#REF!</v>
      </c>
    </row>
    <row r="20" spans="1:11" ht="12.75" customHeight="1">
      <c r="A20" s="151"/>
      <c r="B20" s="151">
        <v>756</v>
      </c>
      <c r="C20" s="184" t="s">
        <v>17</v>
      </c>
      <c r="D20" s="201">
        <f>'Dochody wg §'!J67</f>
        <v>5108363</v>
      </c>
      <c r="G20" s="87">
        <v>900</v>
      </c>
      <c r="H20" s="8" t="s">
        <v>10</v>
      </c>
      <c r="I20" s="198">
        <v>2000</v>
      </c>
      <c r="J20" s="198">
        <f>D47</f>
        <v>2200</v>
      </c>
      <c r="K20" s="451">
        <f t="shared" si="0"/>
        <v>-200</v>
      </c>
    </row>
    <row r="21" spans="1:11" ht="12.75" customHeight="1">
      <c r="A21" s="11"/>
      <c r="B21" s="11">
        <v>756</v>
      </c>
      <c r="C21" s="186" t="s">
        <v>18</v>
      </c>
      <c r="D21" s="202">
        <f>'Dochody wg §'!J68</f>
        <v>450000</v>
      </c>
      <c r="G21" s="87">
        <v>921</v>
      </c>
      <c r="H21" s="8" t="s">
        <v>11</v>
      </c>
      <c r="I21" s="198">
        <v>15000</v>
      </c>
      <c r="J21" s="198">
        <f>D30</f>
        <v>15000</v>
      </c>
      <c r="K21" s="451">
        <f t="shared" si="0"/>
        <v>0</v>
      </c>
    </row>
    <row r="22" spans="1:10" ht="12.75" customHeight="1">
      <c r="A22" s="158">
        <v>3</v>
      </c>
      <c r="B22" s="337">
        <v>700</v>
      </c>
      <c r="C22" s="188" t="s">
        <v>447</v>
      </c>
      <c r="D22" s="200">
        <f>'Dochody wg §'!J17+'Dochody wg §'!J18</f>
        <v>350000</v>
      </c>
      <c r="G22" s="283"/>
      <c r="H22" s="281" t="s">
        <v>12</v>
      </c>
      <c r="I22" s="240">
        <f>SUM(I8:I21)</f>
        <v>36910888.6</v>
      </c>
      <c r="J22" s="240" t="e">
        <f>SUM(J8:J21)</f>
        <v>#REF!</v>
      </c>
    </row>
    <row r="23" spans="1:7" ht="12.75" customHeight="1">
      <c r="A23" s="158">
        <v>4</v>
      </c>
      <c r="B23" s="485"/>
      <c r="C23" s="189" t="s">
        <v>315</v>
      </c>
      <c r="D23" s="200">
        <f>D24+D28+D30+D32+D29+D31</f>
        <v>117832.34</v>
      </c>
      <c r="G23" s="144"/>
    </row>
    <row r="24" spans="1:7" ht="12.75" customHeight="1">
      <c r="A24" s="151"/>
      <c r="B24" s="126"/>
      <c r="C24" s="375" t="s">
        <v>514</v>
      </c>
      <c r="D24" s="201">
        <f>'Dochody wg §'!J136</f>
        <v>0</v>
      </c>
      <c r="G24" s="144"/>
    </row>
    <row r="25" spans="1:7" ht="12.75" customHeight="1">
      <c r="A25" s="151"/>
      <c r="B25" s="126">
        <v>750</v>
      </c>
      <c r="C25" s="190" t="s">
        <v>394</v>
      </c>
      <c r="D25" s="201">
        <f>'Zad rządowe'!D36</f>
        <v>136768</v>
      </c>
      <c r="G25" s="144"/>
    </row>
    <row r="26" spans="1:7" ht="12.75" customHeight="1">
      <c r="A26" s="151"/>
      <c r="B26" s="126">
        <v>751</v>
      </c>
      <c r="C26" s="190" t="s">
        <v>394</v>
      </c>
      <c r="D26" s="201">
        <f>'Zad rządowe'!D39</f>
        <v>2946</v>
      </c>
      <c r="G26" s="144"/>
    </row>
    <row r="27" spans="1:7" ht="12.75" customHeight="1">
      <c r="A27" s="151"/>
      <c r="B27" s="126">
        <v>852</v>
      </c>
      <c r="C27" s="190" t="s">
        <v>394</v>
      </c>
      <c r="D27" s="201">
        <f>'Zad rządowe'!D42</f>
        <v>5975280</v>
      </c>
      <c r="G27" s="144"/>
    </row>
    <row r="28" spans="1:7" ht="12.75" customHeight="1">
      <c r="A28" s="151"/>
      <c r="B28" s="126">
        <v>852</v>
      </c>
      <c r="C28" s="190" t="s">
        <v>395</v>
      </c>
      <c r="D28" s="201">
        <f>'Dochody wg §'!J137</f>
        <v>0</v>
      </c>
      <c r="G28" s="144"/>
    </row>
    <row r="29" spans="1:7" ht="12.75" customHeight="1">
      <c r="A29" s="151"/>
      <c r="B29" s="126">
        <v>852</v>
      </c>
      <c r="C29" s="190" t="s">
        <v>525</v>
      </c>
      <c r="D29" s="201">
        <f>'Dochody wg §'!J95</f>
        <v>11400</v>
      </c>
      <c r="G29" s="144"/>
    </row>
    <row r="30" spans="1:7" ht="12.75" customHeight="1">
      <c r="A30" s="151"/>
      <c r="B30" s="126">
        <v>921</v>
      </c>
      <c r="C30" s="190" t="s">
        <v>316</v>
      </c>
      <c r="D30" s="201">
        <f>'Dochody wg §'!J129+'Dochody wg §'!J127</f>
        <v>15000</v>
      </c>
      <c r="G30" s="144"/>
    </row>
    <row r="31" spans="1:7" ht="12.75" customHeight="1">
      <c r="A31" s="151"/>
      <c r="B31" s="681">
        <v>801</v>
      </c>
      <c r="C31" s="190" t="s">
        <v>668</v>
      </c>
      <c r="D31" s="218">
        <f>'Dochody wg §'!J85+'Dochody wg §'!J86</f>
        <v>39882.34</v>
      </c>
      <c r="G31" s="144"/>
    </row>
    <row r="32" spans="1:7" ht="12.75" customHeight="1">
      <c r="A32" s="11"/>
      <c r="B32" s="126">
        <v>801</v>
      </c>
      <c r="C32" s="190" t="s">
        <v>673</v>
      </c>
      <c r="D32" s="201">
        <f>'Dochody wg §'!J83+'Dochody wg §'!J84</f>
        <v>51550</v>
      </c>
      <c r="G32" s="144"/>
    </row>
    <row r="33" spans="1:7" ht="12.75" customHeight="1">
      <c r="A33" s="150">
        <v>5</v>
      </c>
      <c r="B33" s="149"/>
      <c r="C33" s="189" t="s">
        <v>317</v>
      </c>
      <c r="D33" s="200">
        <f>D34+D35+D36</f>
        <v>17988041</v>
      </c>
      <c r="G33" s="144"/>
    </row>
    <row r="34" spans="1:7" ht="12.75" customHeight="1">
      <c r="A34" s="156"/>
      <c r="B34" s="156">
        <v>758</v>
      </c>
      <c r="C34" s="190" t="s">
        <v>20</v>
      </c>
      <c r="D34" s="201">
        <f>'Dochody wg §'!J71</f>
        <v>9876218</v>
      </c>
      <c r="G34" s="144"/>
    </row>
    <row r="35" spans="1:7" ht="12.75" customHeight="1">
      <c r="A35" s="156"/>
      <c r="B35" s="156">
        <v>758</v>
      </c>
      <c r="C35" s="190" t="s">
        <v>171</v>
      </c>
      <c r="D35" s="201">
        <f>'Dochody wg §'!J73</f>
        <v>7381154</v>
      </c>
      <c r="G35" s="144"/>
    </row>
    <row r="36" spans="1:7" ht="12.75" customHeight="1">
      <c r="A36" s="125"/>
      <c r="B36" s="125">
        <v>758</v>
      </c>
      <c r="C36" s="191" t="s">
        <v>242</v>
      </c>
      <c r="D36" s="202">
        <f>'Dochody wg §'!J75</f>
        <v>730669</v>
      </c>
      <c r="G36" s="144"/>
    </row>
    <row r="37" spans="1:7" ht="12.75" customHeight="1">
      <c r="A37" s="159">
        <v>6</v>
      </c>
      <c r="B37" s="449"/>
      <c r="C37" s="192" t="s">
        <v>318</v>
      </c>
      <c r="D37" s="200">
        <f>D38+D44+D45+D46+D47+D48+D49+D50+D52+D51+D42+D43</f>
        <v>1253505</v>
      </c>
      <c r="G37" s="144"/>
    </row>
    <row r="38" spans="1:7" ht="12.75" customHeight="1">
      <c r="A38" s="156"/>
      <c r="B38" s="151"/>
      <c r="C38" s="185" t="s">
        <v>647</v>
      </c>
      <c r="D38" s="201">
        <f>D39+D41+D40</f>
        <v>693000</v>
      </c>
      <c r="G38" s="144"/>
    </row>
    <row r="39" spans="1:7" ht="12.75" customHeight="1">
      <c r="A39" s="156"/>
      <c r="B39" s="151">
        <v>801</v>
      </c>
      <c r="C39" s="185" t="s">
        <v>648</v>
      </c>
      <c r="D39" s="201">
        <f>'Dochody wg §'!J87+'Dochody wg §'!J90</f>
        <v>532000</v>
      </c>
      <c r="G39" s="144"/>
    </row>
    <row r="40" spans="1:7" ht="12.75" customHeight="1">
      <c r="A40" s="156"/>
      <c r="B40" s="151">
        <v>801</v>
      </c>
      <c r="C40" s="185" t="s">
        <v>649</v>
      </c>
      <c r="D40" s="201">
        <f>'Dochody wg §'!J88</f>
        <v>135000</v>
      </c>
      <c r="G40" s="144"/>
    </row>
    <row r="41" spans="1:7" ht="12.75" customHeight="1">
      <c r="A41" s="156"/>
      <c r="B41" s="151">
        <v>630</v>
      </c>
      <c r="C41" s="185" t="s">
        <v>650</v>
      </c>
      <c r="D41" s="201">
        <f>'Dochody wg §'!J10</f>
        <v>26000</v>
      </c>
      <c r="G41" s="144"/>
    </row>
    <row r="42" spans="1:7" ht="12.75" customHeight="1">
      <c r="A42" s="156"/>
      <c r="B42" s="133" t="s">
        <v>69</v>
      </c>
      <c r="C42" s="185" t="s">
        <v>451</v>
      </c>
      <c r="D42" s="201">
        <f>'Dochody wg §'!J6</f>
        <v>7000</v>
      </c>
      <c r="G42" s="144"/>
    </row>
    <row r="43" spans="1:7" ht="12.75" customHeight="1">
      <c r="A43" s="156"/>
      <c r="B43" s="133" t="s">
        <v>69</v>
      </c>
      <c r="C43" s="190" t="s">
        <v>516</v>
      </c>
      <c r="D43" s="201">
        <f>'Dochody wg §'!J7</f>
        <v>10000</v>
      </c>
      <c r="G43" s="144"/>
    </row>
    <row r="44" spans="1:7" ht="12.75" customHeight="1">
      <c r="A44" s="156"/>
      <c r="B44" s="133" t="s">
        <v>515</v>
      </c>
      <c r="C44" s="185" t="s">
        <v>393</v>
      </c>
      <c r="D44" s="201">
        <f>'Dochody wg §'!J24</f>
        <v>18000</v>
      </c>
      <c r="G44" s="144"/>
    </row>
    <row r="45" spans="1:7" ht="12.75" customHeight="1">
      <c r="A45" s="156"/>
      <c r="B45" s="151">
        <v>750</v>
      </c>
      <c r="C45" s="185" t="s">
        <v>319</v>
      </c>
      <c r="D45" s="201">
        <f>'Dochody wg §'!J30</f>
        <v>20000</v>
      </c>
      <c r="G45" s="144"/>
    </row>
    <row r="46" spans="1:7" ht="12.75" customHeight="1">
      <c r="A46" s="156"/>
      <c r="B46" s="151">
        <v>756</v>
      </c>
      <c r="C46" s="185" t="s">
        <v>320</v>
      </c>
      <c r="D46" s="201">
        <f>'Dochody wg §'!J65</f>
        <v>180000</v>
      </c>
      <c r="G46" s="144"/>
    </row>
    <row r="47" spans="1:7" ht="12.75" customHeight="1">
      <c r="A47" s="162"/>
      <c r="B47" s="450">
        <v>900</v>
      </c>
      <c r="C47" s="193" t="s">
        <v>321</v>
      </c>
      <c r="D47" s="201">
        <f>'Dochody wg §'!J119</f>
        <v>2200</v>
      </c>
      <c r="G47" s="144"/>
    </row>
    <row r="48" spans="1:7" ht="12.75" customHeight="1">
      <c r="A48" s="162"/>
      <c r="B48" s="450">
        <v>750</v>
      </c>
      <c r="C48" s="193" t="s">
        <v>322</v>
      </c>
      <c r="D48" s="201">
        <f>'Dochody wg §'!J32</f>
        <v>20000</v>
      </c>
      <c r="G48" s="144"/>
    </row>
    <row r="49" spans="1:7" ht="12.75" customHeight="1">
      <c r="A49" s="162"/>
      <c r="B49" s="450">
        <v>756</v>
      </c>
      <c r="C49" s="194" t="s">
        <v>323</v>
      </c>
      <c r="D49" s="201">
        <f>'Dochody wg §'!J49+'Dochody wg §'!J61</f>
        <v>20000</v>
      </c>
      <c r="G49" s="144"/>
    </row>
    <row r="50" spans="1:7" ht="12.75" customHeight="1">
      <c r="A50" s="162"/>
      <c r="B50" s="450">
        <v>758</v>
      </c>
      <c r="C50" s="193" t="s">
        <v>645</v>
      </c>
      <c r="D50" s="201">
        <f>'Dochody wg §'!J76</f>
        <v>30000</v>
      </c>
      <c r="G50" s="144"/>
    </row>
    <row r="51" spans="1:7" ht="12.75" customHeight="1">
      <c r="A51" s="162"/>
      <c r="B51" s="450">
        <v>756</v>
      </c>
      <c r="C51" s="193" t="s">
        <v>465</v>
      </c>
      <c r="D51" s="201">
        <f>'Dochody wg §'!J50</f>
        <v>249160</v>
      </c>
      <c r="G51" s="144"/>
    </row>
    <row r="52" spans="1:7" ht="15" customHeight="1">
      <c r="A52" s="162"/>
      <c r="B52" s="450"/>
      <c r="C52" s="194" t="s">
        <v>644</v>
      </c>
      <c r="D52" s="201">
        <f>'Dochody wg §'!J27+'Dochody wg §'!J94+'Dochody wg §'!J110+'Dochody wg §'!J97</f>
        <v>4145</v>
      </c>
      <c r="G52" s="144"/>
    </row>
    <row r="53" spans="1:7" ht="15" customHeight="1">
      <c r="A53" s="162"/>
      <c r="B53" s="450">
        <v>750</v>
      </c>
      <c r="C53" s="194" t="s">
        <v>643</v>
      </c>
      <c r="D53" s="201">
        <f>'Dochody wg §'!J27</f>
        <v>1350</v>
      </c>
      <c r="G53" s="144"/>
    </row>
    <row r="54" spans="1:7" ht="15" customHeight="1">
      <c r="A54" s="164"/>
      <c r="B54" s="176">
        <v>852</v>
      </c>
      <c r="C54" s="194" t="s">
        <v>643</v>
      </c>
      <c r="D54" s="202">
        <f>'Dochody wg §'!J110+'Dochody wg §'!J97</f>
        <v>2795</v>
      </c>
      <c r="G54" s="144"/>
    </row>
    <row r="55" spans="1:7" ht="12.75" customHeight="1">
      <c r="A55" s="697" t="s">
        <v>450</v>
      </c>
      <c r="B55" s="698"/>
      <c r="C55" s="291" t="s">
        <v>511</v>
      </c>
      <c r="D55" s="232">
        <f>D56+D58</f>
        <v>3947851.6</v>
      </c>
      <c r="G55" s="144"/>
    </row>
    <row r="56" spans="1:7" ht="12.75" customHeight="1">
      <c r="A56" s="376" t="s">
        <v>125</v>
      </c>
      <c r="B56" s="376"/>
      <c r="C56" s="379" t="s">
        <v>449</v>
      </c>
      <c r="D56" s="377">
        <f>D57</f>
        <v>1181921.6</v>
      </c>
      <c r="G56" s="144"/>
    </row>
    <row r="57" spans="1:7" ht="12.75" customHeight="1">
      <c r="A57" s="378"/>
      <c r="B57" s="443">
        <v>801</v>
      </c>
      <c r="C57" s="186" t="s">
        <v>452</v>
      </c>
      <c r="D57" s="381">
        <f>'Dochody wg §'!J81</f>
        <v>1181921.6</v>
      </c>
      <c r="G57" s="144"/>
    </row>
    <row r="58" spans="1:7" ht="12.75" customHeight="1">
      <c r="A58" s="694">
        <v>2</v>
      </c>
      <c r="B58" s="150"/>
      <c r="C58" s="375" t="s">
        <v>448</v>
      </c>
      <c r="D58" s="209">
        <f>D59+D60+D62+D61</f>
        <v>2765930</v>
      </c>
      <c r="G58" s="144"/>
    </row>
    <row r="59" spans="1:7" ht="12.75" customHeight="1">
      <c r="A59" s="695"/>
      <c r="B59" s="84" t="s">
        <v>583</v>
      </c>
      <c r="C59" s="190" t="s">
        <v>582</v>
      </c>
      <c r="D59" s="201">
        <f>'Dochody wg §'!J11</f>
        <v>166000</v>
      </c>
      <c r="G59" s="144"/>
    </row>
    <row r="60" spans="1:7" ht="12.75" customHeight="1">
      <c r="A60" s="695"/>
      <c r="B60" s="156">
        <v>700</v>
      </c>
      <c r="C60" s="190" t="s">
        <v>517</v>
      </c>
      <c r="D60" s="201">
        <f>'Dochody wg §'!J20</f>
        <v>2399930</v>
      </c>
      <c r="G60" s="144"/>
    </row>
    <row r="61" spans="1:7" ht="12.75" customHeight="1">
      <c r="A61" s="695"/>
      <c r="B61" s="156">
        <v>700</v>
      </c>
      <c r="C61" s="190" t="s">
        <v>646</v>
      </c>
      <c r="D61" s="201">
        <f>'Dochody wg §'!J19</f>
        <v>20000</v>
      </c>
      <c r="G61" s="144"/>
    </row>
    <row r="62" spans="1:7" ht="12.75" customHeight="1">
      <c r="A62" s="696"/>
      <c r="B62" s="156">
        <v>801</v>
      </c>
      <c r="C62" s="190" t="s">
        <v>518</v>
      </c>
      <c r="D62" s="201">
        <f>'Dochody wg §'!J89</f>
        <v>180000</v>
      </c>
      <c r="G62" s="144"/>
    </row>
    <row r="63" spans="1:7" ht="12.75" customHeight="1">
      <c r="A63" s="248"/>
      <c r="B63" s="248"/>
      <c r="C63" s="249" t="s">
        <v>12</v>
      </c>
      <c r="D63" s="229">
        <f>D55+D5</f>
        <v>35765592.94</v>
      </c>
      <c r="G63" s="144"/>
    </row>
    <row r="64" ht="12.75" customHeight="1">
      <c r="C64" s="196"/>
    </row>
    <row r="65" spans="3:4" ht="12.75" customHeight="1">
      <c r="C65" s="196"/>
      <c r="D65" s="207"/>
    </row>
    <row r="66" ht="12.75" customHeight="1">
      <c r="C66" s="196"/>
    </row>
    <row r="67" ht="12.75" customHeight="1">
      <c r="C67" s="196"/>
    </row>
    <row r="68" ht="12.75" customHeight="1">
      <c r="C68" s="196"/>
    </row>
    <row r="69" ht="12.75" customHeight="1">
      <c r="C69" s="196"/>
    </row>
    <row r="70" ht="12.75" customHeight="1">
      <c r="C70" s="196"/>
    </row>
    <row r="71" ht="12.75" customHeight="1">
      <c r="C71" s="196"/>
    </row>
    <row r="72" ht="12.75" customHeight="1">
      <c r="C72" s="196"/>
    </row>
    <row r="73" ht="12.75" customHeight="1">
      <c r="C73" s="196"/>
    </row>
    <row r="74" ht="12.75" customHeight="1">
      <c r="C74" s="196"/>
    </row>
  </sheetData>
  <mergeCells count="6">
    <mergeCell ref="A2:C2"/>
    <mergeCell ref="A1:C1"/>
    <mergeCell ref="A58:A62"/>
    <mergeCell ref="G5:H5"/>
    <mergeCell ref="A55:B55"/>
    <mergeCell ref="A5:B5"/>
  </mergeCells>
  <printOptions/>
  <pageMargins left="0.85" right="0.36" top="0.23" bottom="0.25" header="0.17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9"/>
  <sheetViews>
    <sheetView showGridLines="0" workbookViewId="0" topLeftCell="A1">
      <selection activeCell="K177" sqref="K177"/>
    </sheetView>
  </sheetViews>
  <sheetFormatPr defaultColWidth="9.00390625" defaultRowHeight="12.75" customHeight="1"/>
  <cols>
    <col min="1" max="1" width="6.75390625" style="68" customWidth="1"/>
    <col min="2" max="2" width="53.75390625" style="68" customWidth="1"/>
    <col min="3" max="3" width="14.00390625" style="525" customWidth="1"/>
    <col min="4" max="4" width="11.875" style="542" hidden="1" customWidth="1"/>
    <col min="5" max="5" width="10.875" style="594" hidden="1" customWidth="1"/>
    <col min="6" max="8" width="14.00390625" style="588" hidden="1" customWidth="1"/>
    <col min="9" max="9" width="13.75390625" style="88" hidden="1" customWidth="1"/>
    <col min="10" max="10" width="0" style="88" hidden="1" customWidth="1"/>
    <col min="11" max="16384" width="9.125" style="88" customWidth="1"/>
  </cols>
  <sheetData>
    <row r="1" spans="1:8" ht="12.75" customHeight="1">
      <c r="A1" s="725" t="s">
        <v>157</v>
      </c>
      <c r="B1" s="725"/>
      <c r="C1" s="545"/>
      <c r="D1" s="526"/>
      <c r="F1" s="614"/>
      <c r="G1" s="614"/>
      <c r="H1" s="614"/>
    </row>
    <row r="2" spans="1:8" ht="12.75" customHeight="1">
      <c r="A2" s="692" t="s">
        <v>674</v>
      </c>
      <c r="B2" s="692"/>
      <c r="C2" s="545"/>
      <c r="D2" s="526"/>
      <c r="F2" s="614"/>
      <c r="G2" s="614"/>
      <c r="H2" s="614"/>
    </row>
    <row r="3" spans="1:8" ht="12.75" customHeight="1">
      <c r="A3" s="95"/>
      <c r="B3" s="95"/>
      <c r="C3" s="519"/>
      <c r="D3" s="527"/>
      <c r="F3" s="615"/>
      <c r="G3" s="615"/>
      <c r="H3" s="615"/>
    </row>
    <row r="4" spans="1:8" s="89" customFormat="1" ht="12.75" customHeight="1">
      <c r="A4" s="233" t="s">
        <v>22</v>
      </c>
      <c r="B4" s="234" t="s">
        <v>2</v>
      </c>
      <c r="C4" s="382" t="s">
        <v>521</v>
      </c>
      <c r="D4" s="528" t="s">
        <v>440</v>
      </c>
      <c r="E4" s="595"/>
      <c r="F4" s="616" t="s">
        <v>24</v>
      </c>
      <c r="G4" s="616" t="s">
        <v>456</v>
      </c>
      <c r="H4" s="616" t="s">
        <v>593</v>
      </c>
    </row>
    <row r="5" spans="1:9" s="90" customFormat="1" ht="12.75" customHeight="1">
      <c r="A5" s="69" t="s">
        <v>67</v>
      </c>
      <c r="B5" s="29" t="s">
        <v>23</v>
      </c>
      <c r="C5" s="521">
        <f>C6</f>
        <v>6400</v>
      </c>
      <c r="D5" s="529">
        <f>D6</f>
        <v>0</v>
      </c>
      <c r="E5" s="596"/>
      <c r="F5" s="617">
        <f aca="true" t="shared" si="0" ref="F5:H6">F6</f>
        <v>6400</v>
      </c>
      <c r="G5" s="617">
        <f t="shared" si="0"/>
        <v>0</v>
      </c>
      <c r="H5" s="617">
        <f t="shared" si="0"/>
        <v>0</v>
      </c>
      <c r="I5" s="689">
        <f>C5-F5-H5</f>
        <v>0</v>
      </c>
    </row>
    <row r="6" spans="1:9" ht="12.75" customHeight="1">
      <c r="A6" s="453" t="s">
        <v>68</v>
      </c>
      <c r="B6" s="167" t="s">
        <v>25</v>
      </c>
      <c r="C6" s="498">
        <f>C7</f>
        <v>6400</v>
      </c>
      <c r="D6" s="530">
        <f>D7</f>
        <v>0</v>
      </c>
      <c r="F6" s="618">
        <f t="shared" si="0"/>
        <v>6400</v>
      </c>
      <c r="G6" s="618">
        <f t="shared" si="0"/>
        <v>0</v>
      </c>
      <c r="H6" s="618">
        <f t="shared" si="0"/>
        <v>0</v>
      </c>
      <c r="I6" s="689">
        <f aca="true" t="shared" si="1" ref="I6:I70">C6-F6-H6</f>
        <v>0</v>
      </c>
    </row>
    <row r="7" spans="1:9" ht="12.75" customHeight="1">
      <c r="A7" s="454"/>
      <c r="B7" s="344" t="s">
        <v>152</v>
      </c>
      <c r="C7" s="455">
        <f>Dochody!D8*2%</f>
        <v>6400</v>
      </c>
      <c r="D7" s="531"/>
      <c r="F7" s="619">
        <v>6400</v>
      </c>
      <c r="G7" s="619"/>
      <c r="H7" s="619"/>
      <c r="I7" s="689">
        <f t="shared" si="1"/>
        <v>0</v>
      </c>
    </row>
    <row r="8" spans="1:9" s="90" customFormat="1" ht="12.75" customHeight="1">
      <c r="A8" s="456" t="s">
        <v>69</v>
      </c>
      <c r="B8" s="457" t="s">
        <v>3</v>
      </c>
      <c r="C8" s="522">
        <f>C9</f>
        <v>46000</v>
      </c>
      <c r="D8" s="532">
        <f>D9</f>
        <v>45400</v>
      </c>
      <c r="E8" s="596"/>
      <c r="F8" s="620">
        <f aca="true" t="shared" si="2" ref="F8:H9">F9</f>
        <v>46000</v>
      </c>
      <c r="G8" s="620">
        <f t="shared" si="2"/>
        <v>19000</v>
      </c>
      <c r="H8" s="620">
        <f t="shared" si="2"/>
        <v>0</v>
      </c>
      <c r="I8" s="689">
        <f t="shared" si="1"/>
        <v>0</v>
      </c>
    </row>
    <row r="9" spans="1:9" ht="12.75" customHeight="1">
      <c r="A9" s="459" t="s">
        <v>70</v>
      </c>
      <c r="B9" s="460" t="s">
        <v>26</v>
      </c>
      <c r="C9" s="498">
        <f>C10</f>
        <v>46000</v>
      </c>
      <c r="D9" s="530">
        <f>D10</f>
        <v>45400</v>
      </c>
      <c r="F9" s="618">
        <f t="shared" si="2"/>
        <v>46000</v>
      </c>
      <c r="G9" s="618">
        <f t="shared" si="2"/>
        <v>19000</v>
      </c>
      <c r="H9" s="618">
        <f t="shared" si="2"/>
        <v>0</v>
      </c>
      <c r="I9" s="689">
        <f t="shared" si="1"/>
        <v>0</v>
      </c>
    </row>
    <row r="10" spans="1:9" ht="12.75" customHeight="1">
      <c r="A10" s="459"/>
      <c r="B10" s="460" t="s">
        <v>71</v>
      </c>
      <c r="C10" s="498">
        <f>C11+C12</f>
        <v>46000</v>
      </c>
      <c r="D10" s="530">
        <f>D11+D12</f>
        <v>45400</v>
      </c>
      <c r="F10" s="618">
        <f>F11+F12</f>
        <v>46000</v>
      </c>
      <c r="G10" s="618">
        <f>G11+G12</f>
        <v>19000</v>
      </c>
      <c r="H10" s="618">
        <f>H11+H12</f>
        <v>0</v>
      </c>
      <c r="I10" s="689">
        <f t="shared" si="1"/>
        <v>0</v>
      </c>
    </row>
    <row r="11" spans="1:9" ht="12.75" customHeight="1">
      <c r="A11" s="459"/>
      <c r="B11" s="460" t="s">
        <v>76</v>
      </c>
      <c r="C11" s="386">
        <v>19000</v>
      </c>
      <c r="D11" s="533">
        <v>18400</v>
      </c>
      <c r="F11" s="621">
        <v>19000</v>
      </c>
      <c r="G11" s="621">
        <v>19000</v>
      </c>
      <c r="H11" s="621"/>
      <c r="I11" s="689">
        <f t="shared" si="1"/>
        <v>0</v>
      </c>
    </row>
    <row r="12" spans="1:9" ht="12.75" customHeight="1">
      <c r="A12" s="459"/>
      <c r="B12" s="460" t="s">
        <v>77</v>
      </c>
      <c r="C12" s="455">
        <v>27000</v>
      </c>
      <c r="D12" s="531">
        <v>27000</v>
      </c>
      <c r="F12" s="619">
        <v>27000</v>
      </c>
      <c r="G12" s="619"/>
      <c r="H12" s="619"/>
      <c r="I12" s="689">
        <f t="shared" si="1"/>
        <v>0</v>
      </c>
    </row>
    <row r="13" spans="1:9" s="90" customFormat="1" ht="12.75" customHeight="1">
      <c r="A13" s="461">
        <v>400</v>
      </c>
      <c r="B13" s="462" t="s">
        <v>84</v>
      </c>
      <c r="C13" s="523">
        <f>C21+C17+C14</f>
        <v>1996924</v>
      </c>
      <c r="D13" s="534">
        <f>D21+D17</f>
        <v>282900</v>
      </c>
      <c r="E13" s="596"/>
      <c r="F13" s="622">
        <f>F21+F17+F14</f>
        <v>278530</v>
      </c>
      <c r="G13" s="622">
        <f>G21+G17+G14</f>
        <v>4500</v>
      </c>
      <c r="H13" s="622">
        <f>H21+H17+H14</f>
        <v>1718394</v>
      </c>
      <c r="I13" s="689">
        <f t="shared" si="1"/>
        <v>0</v>
      </c>
    </row>
    <row r="14" spans="1:9" s="90" customFormat="1" ht="12.75" customHeight="1">
      <c r="A14" s="167">
        <v>40001</v>
      </c>
      <c r="B14" s="167" t="s">
        <v>563</v>
      </c>
      <c r="C14" s="498">
        <f>C15</f>
        <v>10000</v>
      </c>
      <c r="D14" s="532"/>
      <c r="E14" s="596"/>
      <c r="F14" s="618">
        <f aca="true" t="shared" si="3" ref="F14:H15">F15</f>
        <v>0</v>
      </c>
      <c r="G14" s="618">
        <f t="shared" si="3"/>
        <v>0</v>
      </c>
      <c r="H14" s="618">
        <f t="shared" si="3"/>
        <v>10000</v>
      </c>
      <c r="I14" s="689">
        <f t="shared" si="1"/>
        <v>0</v>
      </c>
    </row>
    <row r="15" spans="1:9" s="90" customFormat="1" ht="12.75" customHeight="1">
      <c r="A15" s="167"/>
      <c r="B15" s="167" t="s">
        <v>57</v>
      </c>
      <c r="C15" s="498">
        <f>C16</f>
        <v>10000</v>
      </c>
      <c r="D15" s="532"/>
      <c r="E15" s="596"/>
      <c r="F15" s="618">
        <f t="shared" si="3"/>
        <v>0</v>
      </c>
      <c r="G15" s="618">
        <f t="shared" si="3"/>
        <v>0</v>
      </c>
      <c r="H15" s="618">
        <f t="shared" si="3"/>
        <v>10000</v>
      </c>
      <c r="I15" s="689">
        <f t="shared" si="1"/>
        <v>0</v>
      </c>
    </row>
    <row r="16" spans="1:9" s="90" customFormat="1" ht="25.5" customHeight="1">
      <c r="A16" s="166"/>
      <c r="B16" s="167" t="s">
        <v>564</v>
      </c>
      <c r="C16" s="498">
        <v>10000</v>
      </c>
      <c r="D16" s="532"/>
      <c r="E16" s="597"/>
      <c r="F16" s="618"/>
      <c r="G16" s="618"/>
      <c r="H16" s="618">
        <v>10000</v>
      </c>
      <c r="I16" s="689">
        <f t="shared" si="1"/>
        <v>0</v>
      </c>
    </row>
    <row r="17" spans="1:9" ht="12.75" customHeight="1">
      <c r="A17" s="166">
        <v>40002</v>
      </c>
      <c r="B17" s="167" t="s">
        <v>107</v>
      </c>
      <c r="C17" s="386">
        <f>C18+C19</f>
        <v>1982424</v>
      </c>
      <c r="D17" s="533">
        <f>D18</f>
        <v>278400</v>
      </c>
      <c r="E17" s="597"/>
      <c r="F17" s="621">
        <f>F18+F19</f>
        <v>274030</v>
      </c>
      <c r="G17" s="621"/>
      <c r="H17" s="621">
        <f>H18+H19</f>
        <v>1708394</v>
      </c>
      <c r="I17" s="689">
        <f t="shared" si="1"/>
        <v>0</v>
      </c>
    </row>
    <row r="18" spans="1:9" ht="12.75" customHeight="1">
      <c r="A18" s="166"/>
      <c r="B18" s="167" t="s">
        <v>419</v>
      </c>
      <c r="C18" s="386">
        <v>274030</v>
      </c>
      <c r="D18" s="533">
        <v>278400</v>
      </c>
      <c r="F18" s="621">
        <v>274030</v>
      </c>
      <c r="G18" s="621">
        <v>274030</v>
      </c>
      <c r="H18" s="621"/>
      <c r="I18" s="689">
        <f t="shared" si="1"/>
        <v>0</v>
      </c>
    </row>
    <row r="19" spans="1:9" ht="12.75" customHeight="1">
      <c r="A19" s="166"/>
      <c r="B19" s="167" t="s">
        <v>57</v>
      </c>
      <c r="C19" s="386">
        <f>C20</f>
        <v>1708394</v>
      </c>
      <c r="D19" s="533"/>
      <c r="F19" s="621">
        <f>F20</f>
        <v>0</v>
      </c>
      <c r="G19" s="621">
        <f>G20</f>
        <v>0</v>
      </c>
      <c r="H19" s="621">
        <f>H20</f>
        <v>1708394</v>
      </c>
      <c r="I19" s="689">
        <f t="shared" si="1"/>
        <v>0</v>
      </c>
    </row>
    <row r="20" spans="1:9" ht="27" customHeight="1">
      <c r="A20" s="166"/>
      <c r="B20" s="167" t="s">
        <v>566</v>
      </c>
      <c r="C20" s="386">
        <v>1708394</v>
      </c>
      <c r="D20" s="533"/>
      <c r="E20" s="597"/>
      <c r="F20" s="621"/>
      <c r="G20" s="621"/>
      <c r="H20" s="621">
        <v>1708394</v>
      </c>
      <c r="I20" s="689">
        <f t="shared" si="1"/>
        <v>0</v>
      </c>
    </row>
    <row r="21" spans="1:9" ht="12.75" customHeight="1">
      <c r="A21" s="166">
        <v>40095</v>
      </c>
      <c r="B21" s="167" t="s">
        <v>27</v>
      </c>
      <c r="C21" s="386">
        <f>C22</f>
        <v>4500</v>
      </c>
      <c r="D21" s="533">
        <f>D22</f>
        <v>4500</v>
      </c>
      <c r="F21" s="621">
        <f>F22</f>
        <v>4500</v>
      </c>
      <c r="G21" s="621">
        <f>G22</f>
        <v>4500</v>
      </c>
      <c r="H21" s="621">
        <f>H22</f>
        <v>0</v>
      </c>
      <c r="I21" s="689">
        <f t="shared" si="1"/>
        <v>0</v>
      </c>
    </row>
    <row r="22" spans="1:9" ht="12.75" customHeight="1">
      <c r="A22" s="301"/>
      <c r="B22" s="344" t="s">
        <v>24</v>
      </c>
      <c r="C22" s="455">
        <v>4500</v>
      </c>
      <c r="D22" s="531">
        <v>4500</v>
      </c>
      <c r="F22" s="619">
        <v>4500</v>
      </c>
      <c r="G22" s="619">
        <v>4500</v>
      </c>
      <c r="H22" s="619"/>
      <c r="I22" s="689">
        <f t="shared" si="1"/>
        <v>0</v>
      </c>
    </row>
    <row r="23" spans="1:9" s="90" customFormat="1" ht="12.75" customHeight="1">
      <c r="A23" s="464">
        <v>500</v>
      </c>
      <c r="B23" s="457" t="s">
        <v>28</v>
      </c>
      <c r="C23" s="523">
        <f>C24</f>
        <v>30000</v>
      </c>
      <c r="D23" s="534">
        <f>D24</f>
        <v>44000</v>
      </c>
      <c r="E23" s="596"/>
      <c r="F23" s="622">
        <f aca="true" t="shared" si="4" ref="F23:H24">F24</f>
        <v>30000</v>
      </c>
      <c r="G23" s="622">
        <f t="shared" si="4"/>
        <v>20000</v>
      </c>
      <c r="H23" s="622">
        <f t="shared" si="4"/>
        <v>0</v>
      </c>
      <c r="I23" s="689">
        <f t="shared" si="1"/>
        <v>0</v>
      </c>
    </row>
    <row r="24" spans="1:9" ht="12.75" customHeight="1">
      <c r="A24" s="465">
        <v>50095</v>
      </c>
      <c r="B24" s="460" t="s">
        <v>27</v>
      </c>
      <c r="C24" s="498">
        <f>C25</f>
        <v>30000</v>
      </c>
      <c r="D24" s="530">
        <f>D25</f>
        <v>44000</v>
      </c>
      <c r="F24" s="618">
        <f t="shared" si="4"/>
        <v>30000</v>
      </c>
      <c r="G24" s="618">
        <f t="shared" si="4"/>
        <v>20000</v>
      </c>
      <c r="H24" s="618">
        <f t="shared" si="4"/>
        <v>0</v>
      </c>
      <c r="I24" s="689">
        <f t="shared" si="1"/>
        <v>0</v>
      </c>
    </row>
    <row r="25" spans="1:9" ht="12.75" customHeight="1">
      <c r="A25" s="465"/>
      <c r="B25" s="460" t="s">
        <v>71</v>
      </c>
      <c r="C25" s="498">
        <f>C26+C27</f>
        <v>30000</v>
      </c>
      <c r="D25" s="530">
        <f>D26+D27</f>
        <v>44000</v>
      </c>
      <c r="F25" s="618">
        <f>F26+F27</f>
        <v>30000</v>
      </c>
      <c r="G25" s="618">
        <f>G26+G27</f>
        <v>20000</v>
      </c>
      <c r="H25" s="618">
        <f>H26+H27</f>
        <v>0</v>
      </c>
      <c r="I25" s="689">
        <f t="shared" si="1"/>
        <v>0</v>
      </c>
    </row>
    <row r="26" spans="1:9" ht="12.75" customHeight="1">
      <c r="A26" s="465"/>
      <c r="B26" s="460" t="s">
        <v>76</v>
      </c>
      <c r="C26" s="498">
        <f>23000-3000</f>
        <v>20000</v>
      </c>
      <c r="D26" s="530">
        <v>23000</v>
      </c>
      <c r="F26" s="498">
        <f>23000-3000</f>
        <v>20000</v>
      </c>
      <c r="G26" s="498">
        <f>23000-3000</f>
        <v>20000</v>
      </c>
      <c r="H26" s="618"/>
      <c r="I26" s="689">
        <f t="shared" si="1"/>
        <v>0</v>
      </c>
    </row>
    <row r="27" spans="1:9" ht="12.75" customHeight="1">
      <c r="A27" s="465"/>
      <c r="B27" s="460" t="s">
        <v>77</v>
      </c>
      <c r="C27" s="386">
        <f>15000-5000</f>
        <v>10000</v>
      </c>
      <c r="D27" s="533">
        <v>21000</v>
      </c>
      <c r="F27" s="386">
        <f>15000-5000</f>
        <v>10000</v>
      </c>
      <c r="G27" s="621"/>
      <c r="H27" s="621"/>
      <c r="I27" s="689">
        <f t="shared" si="1"/>
        <v>0</v>
      </c>
    </row>
    <row r="28" spans="1:9" s="90" customFormat="1" ht="12.75" customHeight="1">
      <c r="A28" s="461">
        <v>600</v>
      </c>
      <c r="B28" s="462" t="s">
        <v>4</v>
      </c>
      <c r="C28" s="524">
        <f>C32+C29</f>
        <v>3485236</v>
      </c>
      <c r="D28" s="535">
        <f>D32+D29</f>
        <v>300000</v>
      </c>
      <c r="E28" s="596"/>
      <c r="F28" s="623">
        <f>F32+F29</f>
        <v>227000</v>
      </c>
      <c r="G28" s="622">
        <f>G32+G29</f>
        <v>0</v>
      </c>
      <c r="H28" s="624">
        <f>H32+H29</f>
        <v>3258236</v>
      </c>
      <c r="I28" s="689">
        <f t="shared" si="1"/>
        <v>0</v>
      </c>
    </row>
    <row r="29" spans="1:9" s="90" customFormat="1" ht="12.75" customHeight="1">
      <c r="A29" s="166">
        <v>60014</v>
      </c>
      <c r="B29" s="167" t="s">
        <v>641</v>
      </c>
      <c r="C29" s="482">
        <f>C30</f>
        <v>250000</v>
      </c>
      <c r="D29" s="530">
        <f>D30</f>
        <v>0</v>
      </c>
      <c r="E29" s="596"/>
      <c r="F29" s="625">
        <f>F30</f>
        <v>0</v>
      </c>
      <c r="G29" s="618">
        <f>G30</f>
        <v>0</v>
      </c>
      <c r="H29" s="626">
        <f>H30</f>
        <v>250000</v>
      </c>
      <c r="I29" s="689">
        <f t="shared" si="1"/>
        <v>0</v>
      </c>
    </row>
    <row r="30" spans="1:9" s="90" customFormat="1" ht="12.75" customHeight="1">
      <c r="A30" s="166"/>
      <c r="B30" s="167" t="s">
        <v>538</v>
      </c>
      <c r="C30" s="482">
        <v>250000</v>
      </c>
      <c r="D30" s="530"/>
      <c r="E30" s="596"/>
      <c r="F30" s="625"/>
      <c r="G30" s="618"/>
      <c r="H30" s="626">
        <v>250000</v>
      </c>
      <c r="I30" s="689">
        <f t="shared" si="1"/>
        <v>0</v>
      </c>
    </row>
    <row r="31" spans="1:9" s="90" customFormat="1" ht="54" customHeight="1">
      <c r="A31" s="166"/>
      <c r="B31" s="167" t="s">
        <v>652</v>
      </c>
      <c r="C31" s="482"/>
      <c r="D31" s="530"/>
      <c r="E31" s="596"/>
      <c r="F31" s="625"/>
      <c r="G31" s="618"/>
      <c r="H31" s="626"/>
      <c r="I31" s="689">
        <f t="shared" si="1"/>
        <v>0</v>
      </c>
    </row>
    <row r="32" spans="1:9" ht="12.75" customHeight="1">
      <c r="A32" s="166">
        <v>60016</v>
      </c>
      <c r="B32" s="167" t="s">
        <v>29</v>
      </c>
      <c r="C32" s="482">
        <f>C33+C34</f>
        <v>3235236</v>
      </c>
      <c r="D32" s="530">
        <f>D33+D34</f>
        <v>300000</v>
      </c>
      <c r="F32" s="625">
        <f>F33+F34</f>
        <v>227000</v>
      </c>
      <c r="G32" s="618">
        <f>G33+G34</f>
        <v>0</v>
      </c>
      <c r="H32" s="626">
        <f>H33+H34</f>
        <v>3008236</v>
      </c>
      <c r="I32" s="689">
        <f t="shared" si="1"/>
        <v>0</v>
      </c>
    </row>
    <row r="33" spans="1:9" ht="12.75" customHeight="1">
      <c r="A33" s="166"/>
      <c r="B33" s="167" t="s">
        <v>24</v>
      </c>
      <c r="C33" s="387">
        <f>310000-83000</f>
        <v>227000</v>
      </c>
      <c r="D33" s="533">
        <v>300000</v>
      </c>
      <c r="F33" s="627">
        <f>310000-83000</f>
        <v>227000</v>
      </c>
      <c r="G33" s="621"/>
      <c r="H33" s="628"/>
      <c r="I33" s="689">
        <f t="shared" si="1"/>
        <v>0</v>
      </c>
    </row>
    <row r="34" spans="1:9" ht="12.75" customHeight="1">
      <c r="A34" s="166"/>
      <c r="B34" s="167" t="s">
        <v>57</v>
      </c>
      <c r="C34" s="387">
        <f>C35+SUM(C38:C55)</f>
        <v>3008236</v>
      </c>
      <c r="D34" s="533"/>
      <c r="F34" s="627">
        <f>F35+SUM(F38:F55)</f>
        <v>0</v>
      </c>
      <c r="G34" s="621">
        <f>G35+SUM(G38:G55)</f>
        <v>0</v>
      </c>
      <c r="H34" s="628">
        <f>H35+SUM(H38:H55)</f>
        <v>3008236</v>
      </c>
      <c r="I34" s="689">
        <f t="shared" si="1"/>
        <v>0</v>
      </c>
    </row>
    <row r="35" spans="1:9" ht="25.5" customHeight="1">
      <c r="A35" s="166"/>
      <c r="B35" s="479" t="s">
        <v>437</v>
      </c>
      <c r="C35" s="387">
        <f>1467236-495000</f>
        <v>972236</v>
      </c>
      <c r="D35" s="533"/>
      <c r="E35" s="597">
        <f>C35-250000</f>
        <v>722236</v>
      </c>
      <c r="F35" s="627"/>
      <c r="G35" s="621"/>
      <c r="H35" s="628">
        <f>1467236-495000</f>
        <v>972236</v>
      </c>
      <c r="I35" s="689">
        <f t="shared" si="1"/>
        <v>0</v>
      </c>
    </row>
    <row r="36" spans="1:9" s="493" customFormat="1" ht="12.75" customHeight="1" hidden="1">
      <c r="A36" s="490"/>
      <c r="B36" s="603" t="s">
        <v>534</v>
      </c>
      <c r="C36" s="604">
        <v>560000</v>
      </c>
      <c r="D36" s="533"/>
      <c r="E36" s="594"/>
      <c r="F36" s="629"/>
      <c r="G36" s="630"/>
      <c r="H36" s="631">
        <v>560000</v>
      </c>
      <c r="I36" s="689">
        <f t="shared" si="1"/>
        <v>0</v>
      </c>
    </row>
    <row r="37" spans="1:9" s="493" customFormat="1" ht="12.75" customHeight="1" hidden="1">
      <c r="A37" s="490"/>
      <c r="B37" s="605" t="s">
        <v>526</v>
      </c>
      <c r="C37" s="604">
        <v>250000</v>
      </c>
      <c r="D37" s="533"/>
      <c r="E37" s="594"/>
      <c r="F37" s="629"/>
      <c r="G37" s="630"/>
      <c r="H37" s="631">
        <v>250000</v>
      </c>
      <c r="I37" s="689">
        <f t="shared" si="1"/>
        <v>0</v>
      </c>
    </row>
    <row r="38" spans="1:9" ht="12" customHeight="1">
      <c r="A38" s="166"/>
      <c r="B38" s="479" t="s">
        <v>533</v>
      </c>
      <c r="C38" s="486">
        <f>160600+60000+60000+30000</f>
        <v>310600</v>
      </c>
      <c r="D38" s="533"/>
      <c r="F38" s="632"/>
      <c r="G38" s="633"/>
      <c r="H38" s="634">
        <f>160600+60000+60000+30000</f>
        <v>310600</v>
      </c>
      <c r="I38" s="689">
        <f t="shared" si="1"/>
        <v>0</v>
      </c>
    </row>
    <row r="39" spans="1:9" ht="12" customHeight="1">
      <c r="A39" s="166"/>
      <c r="B39" s="479" t="s">
        <v>677</v>
      </c>
      <c r="C39" s="486">
        <v>83000</v>
      </c>
      <c r="D39" s="533"/>
      <c r="F39" s="632"/>
      <c r="G39" s="633"/>
      <c r="H39" s="634">
        <v>83000</v>
      </c>
      <c r="I39" s="689"/>
    </row>
    <row r="40" spans="1:9" s="219" customFormat="1" ht="12.75" customHeight="1">
      <c r="A40" s="166"/>
      <c r="B40" s="479" t="s">
        <v>529</v>
      </c>
      <c r="C40" s="486">
        <f>140000+30000</f>
        <v>170000</v>
      </c>
      <c r="D40" s="533"/>
      <c r="E40" s="598"/>
      <c r="F40" s="632"/>
      <c r="G40" s="633"/>
      <c r="H40" s="634">
        <f>140000+30000</f>
        <v>170000</v>
      </c>
      <c r="I40" s="689">
        <f t="shared" si="1"/>
        <v>0</v>
      </c>
    </row>
    <row r="41" spans="1:9" s="219" customFormat="1" ht="12.75" customHeight="1">
      <c r="A41" s="166"/>
      <c r="B41" s="479" t="s">
        <v>531</v>
      </c>
      <c r="C41" s="486">
        <f>50000+20000</f>
        <v>70000</v>
      </c>
      <c r="D41" s="533"/>
      <c r="E41" s="598"/>
      <c r="F41" s="632"/>
      <c r="G41" s="633"/>
      <c r="H41" s="634">
        <f>50000+20000</f>
        <v>70000</v>
      </c>
      <c r="I41" s="689">
        <f t="shared" si="1"/>
        <v>0</v>
      </c>
    </row>
    <row r="42" spans="1:9" ht="12.75" customHeight="1">
      <c r="A42" s="166"/>
      <c r="B42" s="479" t="s">
        <v>530</v>
      </c>
      <c r="C42" s="486">
        <f>40000</f>
        <v>40000</v>
      </c>
      <c r="D42" s="533"/>
      <c r="F42" s="632"/>
      <c r="G42" s="633"/>
      <c r="H42" s="634">
        <f>40000</f>
        <v>40000</v>
      </c>
      <c r="I42" s="689">
        <f t="shared" si="1"/>
        <v>0</v>
      </c>
    </row>
    <row r="43" spans="1:9" ht="12.75" customHeight="1">
      <c r="A43" s="166"/>
      <c r="B43" s="479" t="s">
        <v>528</v>
      </c>
      <c r="C43" s="486">
        <f>80000+48800</f>
        <v>128800</v>
      </c>
      <c r="D43" s="533"/>
      <c r="F43" s="632"/>
      <c r="G43" s="633"/>
      <c r="H43" s="634">
        <f>80000+48800</f>
        <v>128800</v>
      </c>
      <c r="I43" s="689">
        <f t="shared" si="1"/>
        <v>0</v>
      </c>
    </row>
    <row r="44" spans="1:9" ht="12.75" customHeight="1">
      <c r="A44" s="166"/>
      <c r="B44" s="167" t="s">
        <v>567</v>
      </c>
      <c r="C44" s="486">
        <v>51000</v>
      </c>
      <c r="D44" s="533"/>
      <c r="F44" s="632"/>
      <c r="G44" s="633"/>
      <c r="H44" s="634">
        <v>51000</v>
      </c>
      <c r="I44" s="689">
        <f t="shared" si="1"/>
        <v>0</v>
      </c>
    </row>
    <row r="45" spans="1:9" ht="12.75" customHeight="1">
      <c r="A45" s="166"/>
      <c r="B45" s="167" t="s">
        <v>527</v>
      </c>
      <c r="C45" s="486">
        <f>100000+48800</f>
        <v>148800</v>
      </c>
      <c r="D45" s="533"/>
      <c r="F45" s="632"/>
      <c r="G45" s="633"/>
      <c r="H45" s="634">
        <f>100000+48800</f>
        <v>148800</v>
      </c>
      <c r="I45" s="689">
        <f t="shared" si="1"/>
        <v>0</v>
      </c>
    </row>
    <row r="46" spans="1:9" ht="12.75" customHeight="1">
      <c r="A46" s="166"/>
      <c r="B46" s="479" t="s">
        <v>520</v>
      </c>
      <c r="C46" s="486">
        <v>50000</v>
      </c>
      <c r="D46" s="533"/>
      <c r="F46" s="632"/>
      <c r="G46" s="633"/>
      <c r="H46" s="634">
        <v>50000</v>
      </c>
      <c r="I46" s="689">
        <f t="shared" si="1"/>
        <v>0</v>
      </c>
    </row>
    <row r="47" spans="1:9" ht="12.75" customHeight="1">
      <c r="A47" s="166"/>
      <c r="B47" s="479" t="s">
        <v>532</v>
      </c>
      <c r="C47" s="486">
        <f>40000+5000</f>
        <v>45000</v>
      </c>
      <c r="D47" s="533"/>
      <c r="F47" s="632"/>
      <c r="G47" s="633"/>
      <c r="H47" s="634">
        <f>40000+5000</f>
        <v>45000</v>
      </c>
      <c r="I47" s="689">
        <f t="shared" si="1"/>
        <v>0</v>
      </c>
    </row>
    <row r="48" spans="1:9" ht="26.25" customHeight="1">
      <c r="A48" s="166"/>
      <c r="B48" s="479" t="s">
        <v>592</v>
      </c>
      <c r="C48" s="486">
        <v>28800</v>
      </c>
      <c r="D48" s="533"/>
      <c r="F48" s="632"/>
      <c r="G48" s="633"/>
      <c r="H48" s="634">
        <v>28800</v>
      </c>
      <c r="I48" s="689">
        <f t="shared" si="1"/>
        <v>0</v>
      </c>
    </row>
    <row r="49" spans="1:9" ht="27" customHeight="1">
      <c r="A49" s="166"/>
      <c r="B49" s="479" t="s">
        <v>579</v>
      </c>
      <c r="C49" s="486">
        <v>250000</v>
      </c>
      <c r="D49" s="533"/>
      <c r="F49" s="632"/>
      <c r="G49" s="633"/>
      <c r="H49" s="634">
        <v>250000</v>
      </c>
      <c r="I49" s="689">
        <f t="shared" si="1"/>
        <v>0</v>
      </c>
    </row>
    <row r="50" spans="1:9" ht="12.75" customHeight="1">
      <c r="A50" s="166"/>
      <c r="B50" s="466" t="s">
        <v>330</v>
      </c>
      <c r="C50" s="205">
        <v>70000</v>
      </c>
      <c r="D50" s="533"/>
      <c r="F50" s="635"/>
      <c r="G50" s="636"/>
      <c r="H50" s="637">
        <v>70000</v>
      </c>
      <c r="I50" s="689">
        <f t="shared" si="1"/>
        <v>0</v>
      </c>
    </row>
    <row r="51" spans="1:9" ht="12.75" customHeight="1">
      <c r="A51" s="166"/>
      <c r="B51" s="167" t="s">
        <v>535</v>
      </c>
      <c r="C51" s="205">
        <v>210000</v>
      </c>
      <c r="D51" s="533"/>
      <c r="F51" s="635"/>
      <c r="G51" s="636"/>
      <c r="H51" s="637">
        <v>210000</v>
      </c>
      <c r="I51" s="689">
        <f t="shared" si="1"/>
        <v>0</v>
      </c>
    </row>
    <row r="52" spans="1:9" ht="12.75" customHeight="1">
      <c r="A52" s="166"/>
      <c r="B52" s="487" t="s">
        <v>454</v>
      </c>
      <c r="C52" s="205">
        <v>100000</v>
      </c>
      <c r="D52" s="533"/>
      <c r="F52" s="635"/>
      <c r="G52" s="636"/>
      <c r="H52" s="637">
        <v>100000</v>
      </c>
      <c r="I52" s="689">
        <f t="shared" si="1"/>
        <v>0</v>
      </c>
    </row>
    <row r="53" spans="1:9" ht="12.75" customHeight="1">
      <c r="A53" s="166"/>
      <c r="B53" s="466" t="s">
        <v>453</v>
      </c>
      <c r="C53" s="205">
        <f>100000</f>
        <v>100000</v>
      </c>
      <c r="D53" s="533"/>
      <c r="F53" s="635"/>
      <c r="G53" s="636"/>
      <c r="H53" s="637">
        <f>100000</f>
        <v>100000</v>
      </c>
      <c r="I53" s="689">
        <f t="shared" si="1"/>
        <v>0</v>
      </c>
    </row>
    <row r="54" spans="1:9" ht="12.75" customHeight="1">
      <c r="A54" s="166"/>
      <c r="B54" s="466" t="s">
        <v>536</v>
      </c>
      <c r="C54" s="486">
        <v>100000</v>
      </c>
      <c r="D54" s="533"/>
      <c r="F54" s="632"/>
      <c r="G54" s="633"/>
      <c r="H54" s="634">
        <v>100000</v>
      </c>
      <c r="I54" s="689">
        <f t="shared" si="1"/>
        <v>0</v>
      </c>
    </row>
    <row r="55" spans="1:9" ht="12.75" customHeight="1">
      <c r="A55" s="301"/>
      <c r="B55" s="344" t="s">
        <v>537</v>
      </c>
      <c r="C55" s="346">
        <f>80000</f>
        <v>80000</v>
      </c>
      <c r="D55" s="531"/>
      <c r="F55" s="638"/>
      <c r="G55" s="639"/>
      <c r="H55" s="640">
        <f>80000</f>
        <v>80000</v>
      </c>
      <c r="I55" s="689">
        <f t="shared" si="1"/>
        <v>0</v>
      </c>
    </row>
    <row r="56" spans="1:9" s="90" customFormat="1" ht="12.75" customHeight="1">
      <c r="A56" s="461">
        <v>630</v>
      </c>
      <c r="B56" s="462" t="s">
        <v>5</v>
      </c>
      <c r="C56" s="524">
        <f>C57+C61</f>
        <v>507751</v>
      </c>
      <c r="D56" s="534">
        <f>D57</f>
        <v>157600</v>
      </c>
      <c r="E56" s="596"/>
      <c r="F56" s="622">
        <f>F57+F61</f>
        <v>338300</v>
      </c>
      <c r="G56" s="624">
        <f>G57+G61</f>
        <v>108200</v>
      </c>
      <c r="H56" s="624">
        <f>H57+H61</f>
        <v>169451</v>
      </c>
      <c r="I56" s="689">
        <f t="shared" si="1"/>
        <v>0</v>
      </c>
    </row>
    <row r="57" spans="1:9" ht="12.75" customHeight="1">
      <c r="A57" s="166">
        <v>63001</v>
      </c>
      <c r="B57" s="167" t="s">
        <v>30</v>
      </c>
      <c r="C57" s="482">
        <f>C58</f>
        <v>338300</v>
      </c>
      <c r="D57" s="530">
        <f>D58</f>
        <v>157600</v>
      </c>
      <c r="F57" s="618">
        <f>F58</f>
        <v>338300</v>
      </c>
      <c r="G57" s="626">
        <f>G58</f>
        <v>108200</v>
      </c>
      <c r="H57" s="626">
        <f>H58</f>
        <v>0</v>
      </c>
      <c r="I57" s="689">
        <f t="shared" si="1"/>
        <v>0</v>
      </c>
    </row>
    <row r="58" spans="1:9" ht="12.75" customHeight="1">
      <c r="A58" s="480"/>
      <c r="B58" s="167" t="s">
        <v>24</v>
      </c>
      <c r="C58" s="482">
        <f>C59+C60</f>
        <v>338300</v>
      </c>
      <c r="D58" s="530">
        <f>D59+D60</f>
        <v>157600</v>
      </c>
      <c r="F58" s="618">
        <f>F59+F60</f>
        <v>338300</v>
      </c>
      <c r="G58" s="626">
        <f>G59+G60</f>
        <v>108200</v>
      </c>
      <c r="H58" s="626">
        <f>H59+H60</f>
        <v>0</v>
      </c>
      <c r="I58" s="689">
        <f t="shared" si="1"/>
        <v>0</v>
      </c>
    </row>
    <row r="59" spans="1:9" ht="12.75" customHeight="1">
      <c r="A59" s="166"/>
      <c r="B59" s="167" t="s">
        <v>78</v>
      </c>
      <c r="C59" s="387">
        <v>108200</v>
      </c>
      <c r="D59" s="533">
        <v>70600</v>
      </c>
      <c r="F59" s="621">
        <v>108200</v>
      </c>
      <c r="G59" s="628">
        <v>108200</v>
      </c>
      <c r="H59" s="628"/>
      <c r="I59" s="689">
        <f t="shared" si="1"/>
        <v>0</v>
      </c>
    </row>
    <row r="60" spans="1:9" ht="12.75" customHeight="1">
      <c r="A60" s="166"/>
      <c r="B60" s="167" t="s">
        <v>77</v>
      </c>
      <c r="C60" s="387">
        <f>34100+166000+30000</f>
        <v>230100</v>
      </c>
      <c r="D60" s="533">
        <f>37000+50000</f>
        <v>87000</v>
      </c>
      <c r="F60" s="621">
        <f>34100+166000+30000</f>
        <v>230100</v>
      </c>
      <c r="G60" s="628"/>
      <c r="H60" s="628"/>
      <c r="I60" s="689">
        <f t="shared" si="1"/>
        <v>0</v>
      </c>
    </row>
    <row r="61" spans="1:9" ht="12.75" customHeight="1">
      <c r="A61" s="166">
        <v>63095</v>
      </c>
      <c r="B61" s="479" t="s">
        <v>27</v>
      </c>
      <c r="C61" s="387">
        <f>C62</f>
        <v>169451</v>
      </c>
      <c r="D61" s="536"/>
      <c r="F61" s="621">
        <f>F62</f>
        <v>0</v>
      </c>
      <c r="G61" s="628">
        <f>G62</f>
        <v>0</v>
      </c>
      <c r="H61" s="628">
        <f>H62</f>
        <v>169451</v>
      </c>
      <c r="I61" s="689">
        <f t="shared" si="1"/>
        <v>0</v>
      </c>
    </row>
    <row r="62" spans="1:9" ht="12.75" customHeight="1">
      <c r="A62" s="166"/>
      <c r="B62" s="167" t="s">
        <v>57</v>
      </c>
      <c r="C62" s="387">
        <f>C64+C63</f>
        <v>169451</v>
      </c>
      <c r="D62" s="536"/>
      <c r="F62" s="621">
        <f>F64+F63</f>
        <v>0</v>
      </c>
      <c r="G62" s="628">
        <f>G64+G63</f>
        <v>0</v>
      </c>
      <c r="H62" s="628">
        <f>H64+H63</f>
        <v>169451</v>
      </c>
      <c r="I62" s="689">
        <f t="shared" si="1"/>
        <v>0</v>
      </c>
    </row>
    <row r="63" spans="1:9" ht="25.5" customHeight="1">
      <c r="A63" s="166"/>
      <c r="B63" s="167" t="s">
        <v>574</v>
      </c>
      <c r="C63" s="387">
        <v>83385</v>
      </c>
      <c r="D63" s="536"/>
      <c r="E63" s="597">
        <f>C63</f>
        <v>83385</v>
      </c>
      <c r="F63" s="621"/>
      <c r="G63" s="628"/>
      <c r="H63" s="628">
        <v>83385</v>
      </c>
      <c r="I63" s="689">
        <f t="shared" si="1"/>
        <v>0</v>
      </c>
    </row>
    <row r="64" spans="1:9" ht="27" customHeight="1">
      <c r="A64" s="301"/>
      <c r="B64" s="489" t="s">
        <v>573</v>
      </c>
      <c r="C64" s="476">
        <v>86066</v>
      </c>
      <c r="D64" s="537"/>
      <c r="E64" s="597">
        <f>C64</f>
        <v>86066</v>
      </c>
      <c r="F64" s="619"/>
      <c r="G64" s="641"/>
      <c r="H64" s="641">
        <v>86066</v>
      </c>
      <c r="I64" s="689">
        <f t="shared" si="1"/>
        <v>0</v>
      </c>
    </row>
    <row r="65" spans="1:9" s="90" customFormat="1" ht="12.75" customHeight="1">
      <c r="A65" s="461">
        <v>700</v>
      </c>
      <c r="B65" s="462" t="s">
        <v>6</v>
      </c>
      <c r="C65" s="524">
        <f>C68+C66</f>
        <v>1151980</v>
      </c>
      <c r="D65" s="535">
        <f>D68+D66</f>
        <v>759200</v>
      </c>
      <c r="E65" s="596"/>
      <c r="F65" s="622">
        <f>F68+F66</f>
        <v>414980</v>
      </c>
      <c r="G65" s="624">
        <f>G68+G66</f>
        <v>0</v>
      </c>
      <c r="H65" s="624">
        <f>H68+H66</f>
        <v>737000</v>
      </c>
      <c r="I65" s="689">
        <f t="shared" si="1"/>
        <v>0</v>
      </c>
    </row>
    <row r="66" spans="1:9" ht="12.75" customHeight="1">
      <c r="A66" s="166">
        <v>70004</v>
      </c>
      <c r="B66" s="466" t="s">
        <v>158</v>
      </c>
      <c r="C66" s="482">
        <f>C67</f>
        <v>69880</v>
      </c>
      <c r="D66" s="538">
        <f>D67</f>
        <v>52200</v>
      </c>
      <c r="F66" s="618">
        <f>F67</f>
        <v>69880</v>
      </c>
      <c r="G66" s="626">
        <f>G67</f>
        <v>0</v>
      </c>
      <c r="H66" s="626">
        <f>H67</f>
        <v>0</v>
      </c>
      <c r="I66" s="689">
        <f t="shared" si="1"/>
        <v>0</v>
      </c>
    </row>
    <row r="67" spans="1:9" ht="12.75" customHeight="1">
      <c r="A67" s="166"/>
      <c r="B67" s="167" t="s">
        <v>419</v>
      </c>
      <c r="C67" s="482">
        <v>69880</v>
      </c>
      <c r="D67" s="538">
        <f>52200</f>
        <v>52200</v>
      </c>
      <c r="F67" s="618">
        <v>69880</v>
      </c>
      <c r="G67" s="626"/>
      <c r="H67" s="626"/>
      <c r="I67" s="689">
        <f t="shared" si="1"/>
        <v>0</v>
      </c>
    </row>
    <row r="68" spans="1:9" ht="12.75" customHeight="1">
      <c r="A68" s="166">
        <v>70005</v>
      </c>
      <c r="B68" s="167" t="s">
        <v>31</v>
      </c>
      <c r="C68" s="482">
        <f>C69+C70</f>
        <v>1082100</v>
      </c>
      <c r="D68" s="538">
        <f>D69+D70</f>
        <v>707000</v>
      </c>
      <c r="F68" s="618">
        <f>F69+F70</f>
        <v>345100</v>
      </c>
      <c r="G68" s="626">
        <f>G69+G70</f>
        <v>0</v>
      </c>
      <c r="H68" s="626">
        <f>H69+H70</f>
        <v>737000</v>
      </c>
      <c r="I68" s="689">
        <f t="shared" si="1"/>
        <v>0</v>
      </c>
    </row>
    <row r="69" spans="1:9" ht="12.75" customHeight="1">
      <c r="A69" s="166"/>
      <c r="B69" s="167" t="s">
        <v>24</v>
      </c>
      <c r="C69" s="387">
        <f>140000+205100</f>
        <v>345100</v>
      </c>
      <c r="D69" s="536">
        <f>130000+102000+69845.4+80154.6-42000-30000-20000-10000</f>
        <v>280000</v>
      </c>
      <c r="F69" s="621">
        <f>140000+205100</f>
        <v>345100</v>
      </c>
      <c r="G69" s="628"/>
      <c r="H69" s="628"/>
      <c r="I69" s="689">
        <f t="shared" si="1"/>
        <v>0</v>
      </c>
    </row>
    <row r="70" spans="1:9" ht="12.75" customHeight="1">
      <c r="A70" s="166"/>
      <c r="B70" s="167" t="s">
        <v>57</v>
      </c>
      <c r="C70" s="387">
        <f>C71+C72+C74+C73</f>
        <v>737000</v>
      </c>
      <c r="D70" s="536">
        <f>D71+D76+D77+D72</f>
        <v>427000</v>
      </c>
      <c r="F70" s="621">
        <f>F71+F72+F74+F73</f>
        <v>0</v>
      </c>
      <c r="G70" s="628">
        <f>G71+G72+G74+G73</f>
        <v>0</v>
      </c>
      <c r="H70" s="628">
        <f>H71+H72+H74+H73</f>
        <v>737000</v>
      </c>
      <c r="I70" s="689">
        <f t="shared" si="1"/>
        <v>0</v>
      </c>
    </row>
    <row r="71" spans="1:9" ht="12.75" customHeight="1">
      <c r="A71" s="166"/>
      <c r="B71" s="167" t="s">
        <v>432</v>
      </c>
      <c r="C71" s="387">
        <v>4000</v>
      </c>
      <c r="D71" s="536">
        <v>30000</v>
      </c>
      <c r="F71" s="621"/>
      <c r="G71" s="628"/>
      <c r="H71" s="628">
        <v>4000</v>
      </c>
      <c r="I71" s="689">
        <f aca="true" t="shared" si="5" ref="I71:I134">C71-F71-H71</f>
        <v>0</v>
      </c>
    </row>
    <row r="72" spans="1:9" ht="12.75" customHeight="1">
      <c r="A72" s="166"/>
      <c r="B72" s="167" t="s">
        <v>590</v>
      </c>
      <c r="C72" s="387">
        <v>300000</v>
      </c>
      <c r="D72" s="536">
        <v>35000</v>
      </c>
      <c r="F72" s="621"/>
      <c r="G72" s="628"/>
      <c r="H72" s="628">
        <v>300000</v>
      </c>
      <c r="I72" s="689">
        <f t="shared" si="5"/>
        <v>0</v>
      </c>
    </row>
    <row r="73" spans="1:9" ht="12.75" customHeight="1">
      <c r="A73" s="166"/>
      <c r="B73" s="167" t="s">
        <v>591</v>
      </c>
      <c r="C73" s="387">
        <v>83000</v>
      </c>
      <c r="D73" s="536"/>
      <c r="F73" s="621"/>
      <c r="G73" s="628"/>
      <c r="H73" s="628">
        <v>83000</v>
      </c>
      <c r="I73" s="689">
        <f t="shared" si="5"/>
        <v>0</v>
      </c>
    </row>
    <row r="74" spans="1:9" ht="24.75" customHeight="1">
      <c r="A74" s="166"/>
      <c r="B74" s="167" t="s">
        <v>580</v>
      </c>
      <c r="C74" s="387">
        <f>C75+C76+C77</f>
        <v>350000</v>
      </c>
      <c r="D74" s="536"/>
      <c r="F74" s="621">
        <f>F75+F76+F77</f>
        <v>0</v>
      </c>
      <c r="G74" s="628"/>
      <c r="H74" s="628">
        <f>H75+H76+H77</f>
        <v>350000</v>
      </c>
      <c r="I74" s="689">
        <f t="shared" si="5"/>
        <v>0</v>
      </c>
    </row>
    <row r="75" spans="1:9" ht="12.75" customHeight="1" hidden="1">
      <c r="A75" s="166"/>
      <c r="B75" s="601" t="s">
        <v>539</v>
      </c>
      <c r="C75" s="602">
        <v>150000</v>
      </c>
      <c r="D75" s="536"/>
      <c r="F75" s="533"/>
      <c r="G75" s="536"/>
      <c r="H75" s="536">
        <v>150000</v>
      </c>
      <c r="I75" s="689">
        <f t="shared" si="5"/>
        <v>0</v>
      </c>
    </row>
    <row r="76" spans="1:9" ht="12.75" customHeight="1" hidden="1">
      <c r="A76" s="166"/>
      <c r="B76" s="601" t="s">
        <v>540</v>
      </c>
      <c r="C76" s="602">
        <v>100000</v>
      </c>
      <c r="D76" s="536">
        <f>100000+42000</f>
        <v>142000</v>
      </c>
      <c r="F76" s="533"/>
      <c r="G76" s="536"/>
      <c r="H76" s="536">
        <v>100000</v>
      </c>
      <c r="I76" s="689">
        <f t="shared" si="5"/>
        <v>0</v>
      </c>
    </row>
    <row r="77" spans="1:9" ht="12.75" customHeight="1" hidden="1">
      <c r="A77" s="166"/>
      <c r="B77" s="601" t="s">
        <v>541</v>
      </c>
      <c r="C77" s="602">
        <v>100000</v>
      </c>
      <c r="D77" s="536">
        <v>220000</v>
      </c>
      <c r="F77" s="531"/>
      <c r="G77" s="537"/>
      <c r="H77" s="537">
        <v>100000</v>
      </c>
      <c r="I77" s="689">
        <f t="shared" si="5"/>
        <v>0</v>
      </c>
    </row>
    <row r="78" spans="1:9" s="90" customFormat="1" ht="12.75" customHeight="1">
      <c r="A78" s="461">
        <v>710</v>
      </c>
      <c r="B78" s="462" t="s">
        <v>32</v>
      </c>
      <c r="C78" s="524">
        <f>C81+C83+C79</f>
        <v>210000</v>
      </c>
      <c r="D78" s="534">
        <f>D81+D83+D79</f>
        <v>205000</v>
      </c>
      <c r="E78" s="596"/>
      <c r="F78" s="623">
        <f>F81+F83+F79</f>
        <v>210000</v>
      </c>
      <c r="G78" s="622">
        <f>G81+G83+G79</f>
        <v>0</v>
      </c>
      <c r="H78" s="624">
        <f>H81+H83+H79</f>
        <v>0</v>
      </c>
      <c r="I78" s="689">
        <f t="shared" si="5"/>
        <v>0</v>
      </c>
    </row>
    <row r="79" spans="1:9" s="90" customFormat="1" ht="12.75" customHeight="1">
      <c r="A79" s="166">
        <v>71004</v>
      </c>
      <c r="B79" s="167" t="s">
        <v>172</v>
      </c>
      <c r="C79" s="482">
        <f>C80</f>
        <v>150000</v>
      </c>
      <c r="D79" s="530">
        <f>D80</f>
        <v>150000</v>
      </c>
      <c r="E79" s="596"/>
      <c r="F79" s="625">
        <f>F80</f>
        <v>150000</v>
      </c>
      <c r="G79" s="618">
        <f>G80</f>
        <v>0</v>
      </c>
      <c r="H79" s="626">
        <f>H80</f>
        <v>0</v>
      </c>
      <c r="I79" s="689">
        <f t="shared" si="5"/>
        <v>0</v>
      </c>
    </row>
    <row r="80" spans="1:9" s="90" customFormat="1" ht="12.75" customHeight="1">
      <c r="A80" s="166"/>
      <c r="B80" s="167" t="str">
        <f>B87</f>
        <v>Wydatki bieżące</v>
      </c>
      <c r="C80" s="482">
        <v>150000</v>
      </c>
      <c r="D80" s="530">
        <v>150000</v>
      </c>
      <c r="E80" s="596"/>
      <c r="F80" s="625">
        <v>150000</v>
      </c>
      <c r="G80" s="618"/>
      <c r="H80" s="626"/>
      <c r="I80" s="689">
        <f t="shared" si="5"/>
        <v>0</v>
      </c>
    </row>
    <row r="81" spans="1:9" ht="12.75" customHeight="1">
      <c r="A81" s="166">
        <v>71035</v>
      </c>
      <c r="B81" s="167" t="s">
        <v>33</v>
      </c>
      <c r="C81" s="482">
        <f>C82</f>
        <v>30000</v>
      </c>
      <c r="D81" s="530">
        <f>D82</f>
        <v>30000</v>
      </c>
      <c r="F81" s="625">
        <f>F82</f>
        <v>30000</v>
      </c>
      <c r="G81" s="618">
        <f>G82</f>
        <v>0</v>
      </c>
      <c r="H81" s="626">
        <f>H82</f>
        <v>0</v>
      </c>
      <c r="I81" s="689">
        <f t="shared" si="5"/>
        <v>0</v>
      </c>
    </row>
    <row r="82" spans="1:9" ht="12.75" customHeight="1">
      <c r="A82" s="166"/>
      <c r="B82" s="167" t="s">
        <v>24</v>
      </c>
      <c r="C82" s="387">
        <v>30000</v>
      </c>
      <c r="D82" s="533">
        <v>30000</v>
      </c>
      <c r="F82" s="627">
        <v>30000</v>
      </c>
      <c r="G82" s="621"/>
      <c r="H82" s="628"/>
      <c r="I82" s="689">
        <f t="shared" si="5"/>
        <v>0</v>
      </c>
    </row>
    <row r="83" spans="1:9" ht="12.75" customHeight="1">
      <c r="A83" s="166">
        <v>71095</v>
      </c>
      <c r="B83" s="167" t="s">
        <v>27</v>
      </c>
      <c r="C83" s="482">
        <f>C84</f>
        <v>30000</v>
      </c>
      <c r="D83" s="530">
        <f>D84</f>
        <v>25000</v>
      </c>
      <c r="F83" s="625">
        <f>F84</f>
        <v>30000</v>
      </c>
      <c r="G83" s="618">
        <f>G84</f>
        <v>0</v>
      </c>
      <c r="H83" s="626">
        <f>H84</f>
        <v>0</v>
      </c>
      <c r="I83" s="689">
        <f t="shared" si="5"/>
        <v>0</v>
      </c>
    </row>
    <row r="84" spans="1:9" ht="12.75" customHeight="1">
      <c r="A84" s="301"/>
      <c r="B84" s="344" t="s">
        <v>24</v>
      </c>
      <c r="C84" s="476">
        <v>30000</v>
      </c>
      <c r="D84" s="531">
        <v>25000</v>
      </c>
      <c r="F84" s="642">
        <v>30000</v>
      </c>
      <c r="G84" s="619"/>
      <c r="H84" s="641"/>
      <c r="I84" s="689">
        <f t="shared" si="5"/>
        <v>0</v>
      </c>
    </row>
    <row r="85" spans="1:9" s="90" customFormat="1" ht="12.75" customHeight="1">
      <c r="A85" s="464">
        <v>750</v>
      </c>
      <c r="B85" s="471" t="s">
        <v>7</v>
      </c>
      <c r="C85" s="522">
        <f>C86+C90+C92+C102+C100</f>
        <v>3746945</v>
      </c>
      <c r="D85" s="532">
        <f>D86+D90+D92+D102+D100</f>
        <v>3428000</v>
      </c>
      <c r="E85" s="596"/>
      <c r="F85" s="620">
        <f>F86+F90+F92+F102+F100</f>
        <v>3493450</v>
      </c>
      <c r="G85" s="620">
        <f>G86+G90+G92+G102+G100</f>
        <v>2239000</v>
      </c>
      <c r="H85" s="620">
        <f>H86+H90+H92+H102+H100</f>
        <v>253495</v>
      </c>
      <c r="I85" s="689">
        <f t="shared" si="5"/>
        <v>0</v>
      </c>
    </row>
    <row r="86" spans="1:9" ht="12.75" customHeight="1">
      <c r="A86" s="465">
        <v>75011</v>
      </c>
      <c r="B86" s="408" t="s">
        <v>34</v>
      </c>
      <c r="C86" s="498">
        <f>C87</f>
        <v>248000</v>
      </c>
      <c r="D86" s="530">
        <f>D87</f>
        <v>243000</v>
      </c>
      <c r="F86" s="618">
        <f>F87</f>
        <v>248000</v>
      </c>
      <c r="G86" s="618">
        <f>G87</f>
        <v>203000</v>
      </c>
      <c r="H86" s="618">
        <f>H87</f>
        <v>0</v>
      </c>
      <c r="I86" s="689">
        <f t="shared" si="5"/>
        <v>0</v>
      </c>
    </row>
    <row r="87" spans="1:9" ht="12.75" customHeight="1">
      <c r="A87" s="465"/>
      <c r="B87" s="408" t="s">
        <v>24</v>
      </c>
      <c r="C87" s="498">
        <f>C88+C89</f>
        <v>248000</v>
      </c>
      <c r="D87" s="530">
        <f>D88+D89</f>
        <v>243000</v>
      </c>
      <c r="F87" s="618">
        <f>F88+F89</f>
        <v>248000</v>
      </c>
      <c r="G87" s="618">
        <f>G88+G89</f>
        <v>203000</v>
      </c>
      <c r="H87" s="618">
        <f>H88+H89</f>
        <v>0</v>
      </c>
      <c r="I87" s="689">
        <f t="shared" si="5"/>
        <v>0</v>
      </c>
    </row>
    <row r="88" spans="1:9" ht="12.75" customHeight="1">
      <c r="A88" s="465"/>
      <c r="B88" s="408" t="s">
        <v>72</v>
      </c>
      <c r="C88" s="386">
        <v>203000</v>
      </c>
      <c r="D88" s="533">
        <v>200000</v>
      </c>
      <c r="F88" s="621">
        <v>203000</v>
      </c>
      <c r="G88" s="621">
        <v>203000</v>
      </c>
      <c r="H88" s="621"/>
      <c r="I88" s="689">
        <f t="shared" si="5"/>
        <v>0</v>
      </c>
    </row>
    <row r="89" spans="1:9" ht="12.75" customHeight="1">
      <c r="A89" s="465"/>
      <c r="B89" s="408" t="s">
        <v>73</v>
      </c>
      <c r="C89" s="386">
        <v>45000</v>
      </c>
      <c r="D89" s="533">
        <v>43000</v>
      </c>
      <c r="F89" s="621">
        <v>45000</v>
      </c>
      <c r="G89" s="621"/>
      <c r="H89" s="621"/>
      <c r="I89" s="689">
        <f t="shared" si="5"/>
        <v>0</v>
      </c>
    </row>
    <row r="90" spans="1:9" ht="12.75" customHeight="1">
      <c r="A90" s="465">
        <v>75022</v>
      </c>
      <c r="B90" s="408" t="s">
        <v>35</v>
      </c>
      <c r="C90" s="498">
        <f>C91</f>
        <v>160000</v>
      </c>
      <c r="D90" s="530">
        <f>D91</f>
        <v>130000</v>
      </c>
      <c r="F90" s="618">
        <f>F91</f>
        <v>160000</v>
      </c>
      <c r="G90" s="618">
        <f>G91</f>
        <v>0</v>
      </c>
      <c r="H90" s="618">
        <f>H91</f>
        <v>0</v>
      </c>
      <c r="I90" s="689">
        <f t="shared" si="5"/>
        <v>0</v>
      </c>
    </row>
    <row r="91" spans="1:9" ht="12.75" customHeight="1">
      <c r="A91" s="465"/>
      <c r="B91" s="408" t="s">
        <v>24</v>
      </c>
      <c r="C91" s="386">
        <f>52000+9000*12</f>
        <v>160000</v>
      </c>
      <c r="D91" s="533">
        <v>130000</v>
      </c>
      <c r="F91" s="621">
        <f>52000+9000*12</f>
        <v>160000</v>
      </c>
      <c r="G91" s="621"/>
      <c r="H91" s="621"/>
      <c r="I91" s="689">
        <f t="shared" si="5"/>
        <v>0</v>
      </c>
    </row>
    <row r="92" spans="1:9" ht="12.75" customHeight="1">
      <c r="A92" s="465">
        <v>75023</v>
      </c>
      <c r="B92" s="408" t="s">
        <v>36</v>
      </c>
      <c r="C92" s="498">
        <f>C93+C96</f>
        <v>3218945</v>
      </c>
      <c r="D92" s="530">
        <f>D93+D96</f>
        <v>2955000</v>
      </c>
      <c r="F92" s="618">
        <f>F93+F96</f>
        <v>2965450</v>
      </c>
      <c r="G92" s="618">
        <f>G93+G96</f>
        <v>2036000</v>
      </c>
      <c r="H92" s="618">
        <f>H93+H96</f>
        <v>253495</v>
      </c>
      <c r="I92" s="689">
        <f t="shared" si="5"/>
        <v>0</v>
      </c>
    </row>
    <row r="93" spans="1:9" ht="12.75" customHeight="1">
      <c r="A93" s="465"/>
      <c r="B93" s="408" t="s">
        <v>24</v>
      </c>
      <c r="C93" s="498">
        <f>C94+C95</f>
        <v>2965450</v>
      </c>
      <c r="D93" s="530">
        <f>D94+D95</f>
        <v>2805000</v>
      </c>
      <c r="E93" s="599"/>
      <c r="F93" s="618">
        <f>F94+F95</f>
        <v>2965450</v>
      </c>
      <c r="G93" s="618">
        <f>G94+G95</f>
        <v>2036000</v>
      </c>
      <c r="H93" s="618">
        <f>H94+H95</f>
        <v>0</v>
      </c>
      <c r="I93" s="689">
        <f t="shared" si="5"/>
        <v>0</v>
      </c>
    </row>
    <row r="94" spans="1:9" ht="12.75" customHeight="1">
      <c r="A94" s="465"/>
      <c r="B94" s="408" t="s">
        <v>72</v>
      </c>
      <c r="C94" s="386">
        <v>2036000</v>
      </c>
      <c r="D94" s="533">
        <v>1900000</v>
      </c>
      <c r="E94" s="599"/>
      <c r="F94" s="621">
        <v>2036000</v>
      </c>
      <c r="G94" s="621">
        <v>2036000</v>
      </c>
      <c r="H94" s="621"/>
      <c r="I94" s="689">
        <f t="shared" si="5"/>
        <v>0</v>
      </c>
    </row>
    <row r="95" spans="1:9" ht="12.75" customHeight="1">
      <c r="A95" s="465"/>
      <c r="B95" s="408" t="s">
        <v>73</v>
      </c>
      <c r="C95" s="386">
        <f>930000-550</f>
        <v>929450</v>
      </c>
      <c r="D95" s="533">
        <v>905000</v>
      </c>
      <c r="E95" s="599"/>
      <c r="F95" s="621">
        <f>930000-550</f>
        <v>929450</v>
      </c>
      <c r="G95" s="621"/>
      <c r="H95" s="621"/>
      <c r="I95" s="689">
        <f t="shared" si="5"/>
        <v>0</v>
      </c>
    </row>
    <row r="96" spans="1:9" ht="12.75" customHeight="1">
      <c r="A96" s="465"/>
      <c r="B96" s="408" t="s">
        <v>57</v>
      </c>
      <c r="C96" s="386">
        <f>C97+C99+C98</f>
        <v>253495</v>
      </c>
      <c r="D96" s="533">
        <f>D97+D99</f>
        <v>150000</v>
      </c>
      <c r="E96" s="599"/>
      <c r="F96" s="621">
        <f>F97+F99+F98</f>
        <v>0</v>
      </c>
      <c r="G96" s="621">
        <f>G97+G99+G98</f>
        <v>0</v>
      </c>
      <c r="H96" s="621">
        <f>H97+H99+H98</f>
        <v>253495</v>
      </c>
      <c r="I96" s="689">
        <f t="shared" si="5"/>
        <v>0</v>
      </c>
    </row>
    <row r="97" spans="1:9" ht="12.75" customHeight="1">
      <c r="A97" s="465"/>
      <c r="B97" s="408" t="s">
        <v>237</v>
      </c>
      <c r="C97" s="386">
        <f>50000</f>
        <v>50000</v>
      </c>
      <c r="D97" s="533">
        <v>50000</v>
      </c>
      <c r="E97" s="599"/>
      <c r="F97" s="621"/>
      <c r="G97" s="621"/>
      <c r="H97" s="621">
        <f>50000</f>
        <v>50000</v>
      </c>
      <c r="I97" s="689">
        <f t="shared" si="5"/>
        <v>0</v>
      </c>
    </row>
    <row r="98" spans="1:9" ht="12.75" customHeight="1">
      <c r="A98" s="465"/>
      <c r="B98" s="408" t="s">
        <v>542</v>
      </c>
      <c r="C98" s="386">
        <v>63495</v>
      </c>
      <c r="D98" s="533"/>
      <c r="E98" s="599"/>
      <c r="F98" s="621"/>
      <c r="G98" s="621"/>
      <c r="H98" s="621">
        <v>63495</v>
      </c>
      <c r="I98" s="689">
        <f t="shared" si="5"/>
        <v>0</v>
      </c>
    </row>
    <row r="99" spans="1:9" ht="12.75" customHeight="1">
      <c r="A99" s="465"/>
      <c r="B99" s="408" t="s">
        <v>568</v>
      </c>
      <c r="C99" s="386">
        <v>140000</v>
      </c>
      <c r="D99" s="533">
        <v>100000</v>
      </c>
      <c r="E99" s="599"/>
      <c r="F99" s="621"/>
      <c r="G99" s="621"/>
      <c r="H99" s="621">
        <v>140000</v>
      </c>
      <c r="I99" s="689">
        <f t="shared" si="5"/>
        <v>0</v>
      </c>
    </row>
    <row r="100" spans="1:9" ht="12.75" customHeight="1">
      <c r="A100" s="465">
        <v>75075</v>
      </c>
      <c r="B100" s="408" t="s">
        <v>455</v>
      </c>
      <c r="C100" s="386">
        <f>C101</f>
        <v>50000</v>
      </c>
      <c r="D100" s="533">
        <f>D101</f>
        <v>50000</v>
      </c>
      <c r="E100" s="599"/>
      <c r="F100" s="621">
        <f>F101</f>
        <v>50000</v>
      </c>
      <c r="G100" s="621">
        <f>G101</f>
        <v>0</v>
      </c>
      <c r="H100" s="621">
        <f>H101</f>
        <v>0</v>
      </c>
      <c r="I100" s="689">
        <f t="shared" si="5"/>
        <v>0</v>
      </c>
    </row>
    <row r="101" spans="1:9" ht="12.75" customHeight="1">
      <c r="A101" s="465"/>
      <c r="B101" s="408" t="s">
        <v>24</v>
      </c>
      <c r="C101" s="386">
        <v>50000</v>
      </c>
      <c r="D101" s="533">
        <v>50000</v>
      </c>
      <c r="E101" s="599"/>
      <c r="F101" s="621">
        <v>50000</v>
      </c>
      <c r="G101" s="621"/>
      <c r="H101" s="621"/>
      <c r="I101" s="689">
        <f t="shared" si="5"/>
        <v>0</v>
      </c>
    </row>
    <row r="102" spans="1:9" ht="12.75" customHeight="1">
      <c r="A102" s="465">
        <v>75095</v>
      </c>
      <c r="B102" s="408" t="s">
        <v>27</v>
      </c>
      <c r="C102" s="498">
        <f>C103</f>
        <v>70000</v>
      </c>
      <c r="D102" s="530">
        <f>D103</f>
        <v>50000</v>
      </c>
      <c r="F102" s="618">
        <f>F103</f>
        <v>70000</v>
      </c>
      <c r="G102" s="618">
        <f>G103</f>
        <v>0</v>
      </c>
      <c r="H102" s="618">
        <f>H103</f>
        <v>0</v>
      </c>
      <c r="I102" s="689">
        <f t="shared" si="5"/>
        <v>0</v>
      </c>
    </row>
    <row r="103" spans="1:9" ht="12.75" customHeight="1">
      <c r="A103" s="472"/>
      <c r="B103" s="473" t="s">
        <v>24</v>
      </c>
      <c r="C103" s="455">
        <v>70000</v>
      </c>
      <c r="D103" s="531">
        <v>50000</v>
      </c>
      <c r="F103" s="619">
        <v>70000</v>
      </c>
      <c r="G103" s="619"/>
      <c r="H103" s="619"/>
      <c r="I103" s="689">
        <f t="shared" si="5"/>
        <v>0</v>
      </c>
    </row>
    <row r="104" spans="1:9" s="90" customFormat="1" ht="12.75" customHeight="1">
      <c r="A104" s="462">
        <v>751</v>
      </c>
      <c r="B104" s="462" t="s">
        <v>264</v>
      </c>
      <c r="C104" s="524">
        <f>C105</f>
        <v>2946</v>
      </c>
      <c r="D104" s="535">
        <f>D105</f>
        <v>0</v>
      </c>
      <c r="E104" s="596"/>
      <c r="F104" s="622">
        <f aca="true" t="shared" si="6" ref="F104:H105">F105</f>
        <v>2946</v>
      </c>
      <c r="G104" s="624">
        <f t="shared" si="6"/>
        <v>1246</v>
      </c>
      <c r="H104" s="624">
        <f t="shared" si="6"/>
        <v>0</v>
      </c>
      <c r="I104" s="689">
        <f t="shared" si="5"/>
        <v>0</v>
      </c>
    </row>
    <row r="105" spans="1:9" ht="12.75" customHeight="1">
      <c r="A105" s="167">
        <v>75101</v>
      </c>
      <c r="B105" s="167" t="s">
        <v>264</v>
      </c>
      <c r="C105" s="482">
        <f>C106</f>
        <v>2946</v>
      </c>
      <c r="D105" s="538">
        <f>D106</f>
        <v>0</v>
      </c>
      <c r="F105" s="618">
        <f t="shared" si="6"/>
        <v>2946</v>
      </c>
      <c r="G105" s="626">
        <f t="shared" si="6"/>
        <v>1246</v>
      </c>
      <c r="H105" s="626">
        <f t="shared" si="6"/>
        <v>0</v>
      </c>
      <c r="I105" s="689">
        <f t="shared" si="5"/>
        <v>0</v>
      </c>
    </row>
    <row r="106" spans="1:9" ht="12.75" customHeight="1">
      <c r="A106" s="167"/>
      <c r="B106" s="167" t="s">
        <v>24</v>
      </c>
      <c r="C106" s="387">
        <f>C108+C107</f>
        <v>2946</v>
      </c>
      <c r="D106" s="536">
        <f>D108</f>
        <v>0</v>
      </c>
      <c r="F106" s="621">
        <f>F108+F107</f>
        <v>2946</v>
      </c>
      <c r="G106" s="628">
        <f>G108+G107</f>
        <v>1246</v>
      </c>
      <c r="H106" s="628">
        <f>H108+H107</f>
        <v>0</v>
      </c>
      <c r="I106" s="689">
        <f t="shared" si="5"/>
        <v>0</v>
      </c>
    </row>
    <row r="107" spans="1:9" ht="12.75" customHeight="1">
      <c r="A107" s="167"/>
      <c r="B107" s="167" t="s">
        <v>72</v>
      </c>
      <c r="C107" s="387">
        <v>1246</v>
      </c>
      <c r="D107" s="536"/>
      <c r="F107" s="621">
        <v>1246</v>
      </c>
      <c r="G107" s="628">
        <v>1246</v>
      </c>
      <c r="H107" s="628"/>
      <c r="I107" s="689">
        <f t="shared" si="5"/>
        <v>0</v>
      </c>
    </row>
    <row r="108" spans="1:9" ht="12.75" customHeight="1">
      <c r="A108" s="344"/>
      <c r="B108" s="344" t="s">
        <v>73</v>
      </c>
      <c r="C108" s="482">
        <v>1700</v>
      </c>
      <c r="D108" s="538"/>
      <c r="F108" s="643">
        <v>1700</v>
      </c>
      <c r="G108" s="644"/>
      <c r="H108" s="644"/>
      <c r="I108" s="689">
        <f t="shared" si="5"/>
        <v>0</v>
      </c>
    </row>
    <row r="109" spans="1:9" s="90" customFormat="1" ht="12.75" customHeight="1">
      <c r="A109" s="461">
        <v>754</v>
      </c>
      <c r="B109" s="462" t="s">
        <v>38</v>
      </c>
      <c r="C109" s="523">
        <f>C110+C114</f>
        <v>126000</v>
      </c>
      <c r="D109" s="534">
        <f>D110+D114</f>
        <v>116000</v>
      </c>
      <c r="E109" s="596"/>
      <c r="F109" s="622">
        <f>F110+F114</f>
        <v>126000</v>
      </c>
      <c r="G109" s="622">
        <f>G110+G114</f>
        <v>42000</v>
      </c>
      <c r="H109" s="622">
        <f>H110+H114</f>
        <v>0</v>
      </c>
      <c r="I109" s="689">
        <f t="shared" si="5"/>
        <v>0</v>
      </c>
    </row>
    <row r="110" spans="1:9" ht="12.75" customHeight="1">
      <c r="A110" s="166">
        <v>75412</v>
      </c>
      <c r="B110" s="167" t="s">
        <v>39</v>
      </c>
      <c r="C110" s="498">
        <f>C111</f>
        <v>125000</v>
      </c>
      <c r="D110" s="530">
        <f>D111</f>
        <v>115000</v>
      </c>
      <c r="F110" s="618">
        <f>F111</f>
        <v>125000</v>
      </c>
      <c r="G110" s="618">
        <f>G111</f>
        <v>42000</v>
      </c>
      <c r="H110" s="618">
        <f>H111</f>
        <v>0</v>
      </c>
      <c r="I110" s="689">
        <f t="shared" si="5"/>
        <v>0</v>
      </c>
    </row>
    <row r="111" spans="1:9" ht="12.75" customHeight="1">
      <c r="A111" s="166"/>
      <c r="B111" s="167" t="s">
        <v>85</v>
      </c>
      <c r="C111" s="386">
        <f>C112+C113</f>
        <v>125000</v>
      </c>
      <c r="D111" s="533">
        <f>D112+D113</f>
        <v>115000</v>
      </c>
      <c r="F111" s="621">
        <f>F112+F113</f>
        <v>125000</v>
      </c>
      <c r="G111" s="621">
        <f>G112+G113</f>
        <v>42000</v>
      </c>
      <c r="H111" s="621">
        <f>H112+H113</f>
        <v>0</v>
      </c>
      <c r="I111" s="689">
        <f t="shared" si="5"/>
        <v>0</v>
      </c>
    </row>
    <row r="112" spans="1:9" ht="12.75" customHeight="1">
      <c r="A112" s="166"/>
      <c r="B112" s="167" t="s">
        <v>76</v>
      </c>
      <c r="C112" s="386">
        <v>42000</v>
      </c>
      <c r="D112" s="533">
        <v>41000</v>
      </c>
      <c r="F112" s="621">
        <v>42000</v>
      </c>
      <c r="G112" s="621">
        <v>42000</v>
      </c>
      <c r="H112" s="621"/>
      <c r="I112" s="689">
        <f t="shared" si="5"/>
        <v>0</v>
      </c>
    </row>
    <row r="113" spans="1:9" ht="12.75" customHeight="1">
      <c r="A113" s="166"/>
      <c r="B113" s="167" t="s">
        <v>77</v>
      </c>
      <c r="C113" s="386">
        <v>83000</v>
      </c>
      <c r="D113" s="533">
        <v>74000</v>
      </c>
      <c r="F113" s="621">
        <v>83000</v>
      </c>
      <c r="G113" s="621"/>
      <c r="H113" s="621"/>
      <c r="I113" s="689">
        <f t="shared" si="5"/>
        <v>0</v>
      </c>
    </row>
    <row r="114" spans="1:9" ht="12.75" customHeight="1">
      <c r="A114" s="166">
        <v>75421</v>
      </c>
      <c r="B114" s="167" t="s">
        <v>513</v>
      </c>
      <c r="C114" s="386">
        <f>C115</f>
        <v>1000</v>
      </c>
      <c r="D114" s="533">
        <f>D115</f>
        <v>1000</v>
      </c>
      <c r="F114" s="621">
        <f>F115</f>
        <v>1000</v>
      </c>
      <c r="G114" s="621">
        <f>G115</f>
        <v>0</v>
      </c>
      <c r="H114" s="621">
        <f>H115</f>
        <v>0</v>
      </c>
      <c r="I114" s="689">
        <f t="shared" si="5"/>
        <v>0</v>
      </c>
    </row>
    <row r="115" spans="1:9" ht="12.75" customHeight="1">
      <c r="A115" s="301"/>
      <c r="B115" s="344" t="s">
        <v>24</v>
      </c>
      <c r="C115" s="455">
        <v>1000</v>
      </c>
      <c r="D115" s="531">
        <v>1000</v>
      </c>
      <c r="F115" s="619">
        <v>1000</v>
      </c>
      <c r="G115" s="619"/>
      <c r="H115" s="619"/>
      <c r="I115" s="689">
        <f t="shared" si="5"/>
        <v>0</v>
      </c>
    </row>
    <row r="116" spans="1:9" ht="24.75" customHeight="1">
      <c r="A116" s="461">
        <v>756</v>
      </c>
      <c r="B116" s="462" t="s">
        <v>350</v>
      </c>
      <c r="C116" s="675">
        <f>C117</f>
        <v>60000</v>
      </c>
      <c r="D116" s="539">
        <f>D117</f>
        <v>50000</v>
      </c>
      <c r="F116" s="645">
        <f aca="true" t="shared" si="7" ref="F116:H117">F117</f>
        <v>60000</v>
      </c>
      <c r="G116" s="646">
        <f t="shared" si="7"/>
        <v>40000</v>
      </c>
      <c r="H116" s="646">
        <f t="shared" si="7"/>
        <v>0</v>
      </c>
      <c r="I116" s="689">
        <f t="shared" si="5"/>
        <v>0</v>
      </c>
    </row>
    <row r="117" spans="1:9" ht="12.75" customHeight="1">
      <c r="A117" s="166">
        <v>75647</v>
      </c>
      <c r="B117" s="167" t="s">
        <v>37</v>
      </c>
      <c r="C117" s="482">
        <f>C118</f>
        <v>60000</v>
      </c>
      <c r="D117" s="538">
        <f>D118</f>
        <v>50000</v>
      </c>
      <c r="F117" s="618">
        <f t="shared" si="7"/>
        <v>60000</v>
      </c>
      <c r="G117" s="626">
        <f t="shared" si="7"/>
        <v>40000</v>
      </c>
      <c r="H117" s="626">
        <f t="shared" si="7"/>
        <v>0</v>
      </c>
      <c r="I117" s="689">
        <f t="shared" si="5"/>
        <v>0</v>
      </c>
    </row>
    <row r="118" spans="1:9" ht="12.75" customHeight="1">
      <c r="A118" s="166"/>
      <c r="B118" s="167" t="s">
        <v>71</v>
      </c>
      <c r="C118" s="482">
        <f>C119+C120</f>
        <v>60000</v>
      </c>
      <c r="D118" s="538">
        <f>D119+D120</f>
        <v>50000</v>
      </c>
      <c r="F118" s="618">
        <f>F119+F120</f>
        <v>60000</v>
      </c>
      <c r="G118" s="626">
        <f>G119+G120</f>
        <v>40000</v>
      </c>
      <c r="H118" s="626">
        <f>H119+H120</f>
        <v>0</v>
      </c>
      <c r="I118" s="689">
        <f t="shared" si="5"/>
        <v>0</v>
      </c>
    </row>
    <row r="119" spans="1:9" ht="12.75" customHeight="1">
      <c r="A119" s="166"/>
      <c r="B119" s="167" t="s">
        <v>76</v>
      </c>
      <c r="C119" s="482">
        <v>40000</v>
      </c>
      <c r="D119" s="538">
        <v>35000</v>
      </c>
      <c r="F119" s="618">
        <v>40000</v>
      </c>
      <c r="G119" s="626">
        <v>40000</v>
      </c>
      <c r="H119" s="626"/>
      <c r="I119" s="689">
        <f t="shared" si="5"/>
        <v>0</v>
      </c>
    </row>
    <row r="120" spans="1:9" ht="12.75" customHeight="1">
      <c r="A120" s="301"/>
      <c r="B120" s="344" t="s">
        <v>77</v>
      </c>
      <c r="C120" s="476">
        <v>20000</v>
      </c>
      <c r="D120" s="537">
        <v>15000</v>
      </c>
      <c r="F120" s="619">
        <v>20000</v>
      </c>
      <c r="G120" s="641"/>
      <c r="H120" s="641"/>
      <c r="I120" s="689">
        <f t="shared" si="5"/>
        <v>0</v>
      </c>
    </row>
    <row r="121" spans="1:9" s="90" customFormat="1" ht="12.75" customHeight="1">
      <c r="A121" s="464">
        <v>757</v>
      </c>
      <c r="B121" s="457" t="s">
        <v>40</v>
      </c>
      <c r="C121" s="522">
        <f>C122</f>
        <v>420000</v>
      </c>
      <c r="D121" s="532">
        <f>D122</f>
        <v>420000</v>
      </c>
      <c r="E121" s="596"/>
      <c r="F121" s="620">
        <f aca="true" t="shared" si="8" ref="F121:H122">F122</f>
        <v>420000</v>
      </c>
      <c r="G121" s="620">
        <f t="shared" si="8"/>
        <v>0</v>
      </c>
      <c r="H121" s="620">
        <f t="shared" si="8"/>
        <v>0</v>
      </c>
      <c r="I121" s="689">
        <f t="shared" si="5"/>
        <v>0</v>
      </c>
    </row>
    <row r="122" spans="1:9" ht="12.75" customHeight="1">
      <c r="A122" s="465">
        <v>75702</v>
      </c>
      <c r="B122" s="460" t="s">
        <v>86</v>
      </c>
      <c r="C122" s="498">
        <f>C123</f>
        <v>420000</v>
      </c>
      <c r="D122" s="530">
        <f>D123</f>
        <v>420000</v>
      </c>
      <c r="F122" s="618">
        <f t="shared" si="8"/>
        <v>420000</v>
      </c>
      <c r="G122" s="618">
        <f t="shared" si="8"/>
        <v>0</v>
      </c>
      <c r="H122" s="618">
        <f t="shared" si="8"/>
        <v>0</v>
      </c>
      <c r="I122" s="689">
        <f t="shared" si="5"/>
        <v>0</v>
      </c>
    </row>
    <row r="123" spans="1:9" ht="12.75" customHeight="1">
      <c r="A123" s="472"/>
      <c r="B123" s="477" t="s">
        <v>64</v>
      </c>
      <c r="C123" s="455">
        <v>420000</v>
      </c>
      <c r="D123" s="531">
        <v>420000</v>
      </c>
      <c r="F123" s="619">
        <v>420000</v>
      </c>
      <c r="G123" s="619"/>
      <c r="H123" s="619"/>
      <c r="I123" s="689">
        <f t="shared" si="5"/>
        <v>0</v>
      </c>
    </row>
    <row r="124" spans="1:9" s="90" customFormat="1" ht="12.75" customHeight="1">
      <c r="A124" s="461">
        <v>758</v>
      </c>
      <c r="B124" s="462" t="s">
        <v>8</v>
      </c>
      <c r="C124" s="523">
        <f>C125</f>
        <v>135000</v>
      </c>
      <c r="D124" s="534">
        <f>D125</f>
        <v>135001.88</v>
      </c>
      <c r="E124" s="596"/>
      <c r="F124" s="622">
        <f>F125</f>
        <v>120000</v>
      </c>
      <c r="G124" s="622">
        <f>G125</f>
        <v>0</v>
      </c>
      <c r="H124" s="622">
        <f>H125</f>
        <v>0</v>
      </c>
      <c r="I124" s="689">
        <f t="shared" si="5"/>
        <v>15000</v>
      </c>
    </row>
    <row r="125" spans="1:9" ht="12.75" customHeight="1">
      <c r="A125" s="166">
        <v>75818</v>
      </c>
      <c r="B125" s="167" t="s">
        <v>41</v>
      </c>
      <c r="C125" s="498">
        <f>C126+C127</f>
        <v>135000</v>
      </c>
      <c r="D125" s="530">
        <f>D126+D127</f>
        <v>135001.88</v>
      </c>
      <c r="F125" s="618">
        <f>F126+F127</f>
        <v>120000</v>
      </c>
      <c r="G125" s="618">
        <f>G126+G127</f>
        <v>0</v>
      </c>
      <c r="H125" s="618">
        <f>H126+H127</f>
        <v>0</v>
      </c>
      <c r="I125" s="689">
        <f t="shared" si="5"/>
        <v>15000</v>
      </c>
    </row>
    <row r="126" spans="1:9" ht="12.75" customHeight="1">
      <c r="A126" s="166"/>
      <c r="B126" s="167" t="s">
        <v>42</v>
      </c>
      <c r="C126" s="386">
        <v>120000</v>
      </c>
      <c r="D126" s="533">
        <v>120000</v>
      </c>
      <c r="F126" s="621">
        <v>120000</v>
      </c>
      <c r="G126" s="621"/>
      <c r="H126" s="621"/>
      <c r="I126" s="689">
        <f t="shared" si="5"/>
        <v>0</v>
      </c>
    </row>
    <row r="127" spans="1:9" ht="12.75" customHeight="1">
      <c r="A127" s="166"/>
      <c r="B127" s="167" t="s">
        <v>460</v>
      </c>
      <c r="C127" s="387">
        <v>15000</v>
      </c>
      <c r="D127" s="536">
        <v>15001.88</v>
      </c>
      <c r="F127" s="619"/>
      <c r="G127" s="628"/>
      <c r="H127" s="628"/>
      <c r="I127" s="689">
        <f t="shared" si="5"/>
        <v>15000</v>
      </c>
    </row>
    <row r="128" spans="1:9" s="90" customFormat="1" ht="12.75" customHeight="1">
      <c r="A128" s="461">
        <v>801</v>
      </c>
      <c r="B128" s="462" t="s">
        <v>9</v>
      </c>
      <c r="C128" s="524">
        <f>C129+C143+C147+C151+C163+C155+C139+C159</f>
        <v>20035411.34</v>
      </c>
      <c r="D128" s="534">
        <f>D129+D143+D147+D151+D163+D155+D139</f>
        <v>17096708</v>
      </c>
      <c r="E128" s="596"/>
      <c r="F128" s="622">
        <f>F129+F143+F147+F151+F163+F155+F139+F159</f>
        <v>17545411.34</v>
      </c>
      <c r="G128" s="622">
        <f>G129+G143+G147+G151+G163+G155+G139+G159</f>
        <v>12228164</v>
      </c>
      <c r="H128" s="624">
        <f>H129+H143+H147+H151+H163+H155+H139+H159</f>
        <v>2490000</v>
      </c>
      <c r="I128" s="689">
        <f t="shared" si="5"/>
        <v>0</v>
      </c>
    </row>
    <row r="129" spans="1:9" ht="12.75" customHeight="1">
      <c r="A129" s="166">
        <v>80101</v>
      </c>
      <c r="B129" s="167" t="s">
        <v>43</v>
      </c>
      <c r="C129" s="482">
        <f>C130+C133</f>
        <v>9993149</v>
      </c>
      <c r="D129" s="530">
        <f>D130+D133</f>
        <v>9976991</v>
      </c>
      <c r="F129" s="618">
        <f>F130+F133</f>
        <v>8933149</v>
      </c>
      <c r="G129" s="618">
        <f>G130+G133</f>
        <v>7163764</v>
      </c>
      <c r="H129" s="626">
        <f>H130+H133</f>
        <v>1060000</v>
      </c>
      <c r="I129" s="689">
        <f t="shared" si="5"/>
        <v>0</v>
      </c>
    </row>
    <row r="130" spans="1:9" ht="12.75" customHeight="1">
      <c r="A130" s="166"/>
      <c r="B130" s="167" t="s">
        <v>71</v>
      </c>
      <c r="C130" s="482">
        <f>C131+C132</f>
        <v>8933149</v>
      </c>
      <c r="D130" s="530">
        <f>D131+D132</f>
        <v>8516991</v>
      </c>
      <c r="F130" s="618">
        <f>F131+F132</f>
        <v>8933149</v>
      </c>
      <c r="G130" s="618">
        <f>G131+G132</f>
        <v>7163764</v>
      </c>
      <c r="H130" s="626">
        <f>H131+H132</f>
        <v>0</v>
      </c>
      <c r="I130" s="689">
        <f t="shared" si="5"/>
        <v>0</v>
      </c>
    </row>
    <row r="131" spans="1:9" ht="12.75" customHeight="1">
      <c r="A131" s="166"/>
      <c r="B131" s="167" t="s">
        <v>76</v>
      </c>
      <c r="C131" s="387">
        <f>7238764-75000</f>
        <v>7163764</v>
      </c>
      <c r="D131" s="533">
        <f>6892394-200000</f>
        <v>6692394</v>
      </c>
      <c r="E131" s="597"/>
      <c r="F131" s="621">
        <f>C131</f>
        <v>7163764</v>
      </c>
      <c r="G131" s="621">
        <f>F131</f>
        <v>7163764</v>
      </c>
      <c r="H131" s="628"/>
      <c r="I131" s="689">
        <f t="shared" si="5"/>
        <v>0</v>
      </c>
    </row>
    <row r="132" spans="1:9" ht="12.75" customHeight="1">
      <c r="A132" s="166"/>
      <c r="B132" s="167" t="s">
        <v>77</v>
      </c>
      <c r="C132" s="387">
        <v>1769385</v>
      </c>
      <c r="D132" s="533">
        <v>1824597</v>
      </c>
      <c r="F132" s="621">
        <v>1769385</v>
      </c>
      <c r="G132" s="621"/>
      <c r="H132" s="628"/>
      <c r="I132" s="689">
        <f t="shared" si="5"/>
        <v>0</v>
      </c>
    </row>
    <row r="133" spans="1:9" ht="12.75" customHeight="1">
      <c r="A133" s="166"/>
      <c r="B133" s="167" t="s">
        <v>57</v>
      </c>
      <c r="C133" s="387">
        <f>C138+C134+C137+C136+C135</f>
        <v>1060000</v>
      </c>
      <c r="D133" s="533">
        <f>D138+D134+D137</f>
        <v>1460000</v>
      </c>
      <c r="F133" s="621">
        <f>F138+F134+F137+F136</f>
        <v>0</v>
      </c>
      <c r="G133" s="621">
        <f>G138+G134+G137+G136</f>
        <v>0</v>
      </c>
      <c r="H133" s="628">
        <f>H138+H134+H137+H136+H135</f>
        <v>1060000</v>
      </c>
      <c r="I133" s="689">
        <f t="shared" si="5"/>
        <v>0</v>
      </c>
    </row>
    <row r="134" spans="1:9" ht="12.75" customHeight="1">
      <c r="A134" s="166"/>
      <c r="B134" s="167" t="s">
        <v>544</v>
      </c>
      <c r="C134" s="387">
        <v>275000</v>
      </c>
      <c r="D134" s="533">
        <v>100000</v>
      </c>
      <c r="F134" s="621"/>
      <c r="G134" s="621"/>
      <c r="H134" s="628">
        <v>275000</v>
      </c>
      <c r="I134" s="689">
        <f t="shared" si="5"/>
        <v>0</v>
      </c>
    </row>
    <row r="135" spans="1:9" ht="26.25" customHeight="1">
      <c r="A135" s="166"/>
      <c r="B135" s="167" t="s">
        <v>676</v>
      </c>
      <c r="C135" s="387">
        <v>75000</v>
      </c>
      <c r="D135" s="533"/>
      <c r="F135" s="621"/>
      <c r="G135" s="621"/>
      <c r="H135" s="628">
        <v>75000</v>
      </c>
      <c r="I135" s="689">
        <f aca="true" t="shared" si="9" ref="I135:I198">C135-F135-H135</f>
        <v>0</v>
      </c>
    </row>
    <row r="136" spans="1:9" ht="12.75" customHeight="1">
      <c r="A136" s="166"/>
      <c r="B136" s="167" t="s">
        <v>545</v>
      </c>
      <c r="C136" s="387">
        <v>95000</v>
      </c>
      <c r="D136" s="533"/>
      <c r="F136" s="621"/>
      <c r="G136" s="621"/>
      <c r="H136" s="628">
        <v>95000</v>
      </c>
      <c r="I136" s="689">
        <f t="shared" si="9"/>
        <v>0</v>
      </c>
    </row>
    <row r="137" spans="1:9" ht="12.75" customHeight="1">
      <c r="A137" s="166"/>
      <c r="B137" s="167" t="s">
        <v>543</v>
      </c>
      <c r="C137" s="387">
        <f>25000+120000</f>
        <v>145000</v>
      </c>
      <c r="D137" s="533">
        <v>100000</v>
      </c>
      <c r="F137" s="621"/>
      <c r="G137" s="621"/>
      <c r="H137" s="628">
        <f>25000+120000</f>
        <v>145000</v>
      </c>
      <c r="I137" s="689">
        <f t="shared" si="9"/>
        <v>0</v>
      </c>
    </row>
    <row r="138" spans="1:9" ht="25.5" customHeight="1">
      <c r="A138" s="166"/>
      <c r="B138" s="167" t="s">
        <v>305</v>
      </c>
      <c r="C138" s="387">
        <v>470000</v>
      </c>
      <c r="D138" s="533">
        <v>1260000</v>
      </c>
      <c r="F138" s="621"/>
      <c r="G138" s="621"/>
      <c r="H138" s="628">
        <v>470000</v>
      </c>
      <c r="I138" s="689">
        <f t="shared" si="9"/>
        <v>0</v>
      </c>
    </row>
    <row r="139" spans="1:9" ht="12.75" customHeight="1">
      <c r="A139" s="166">
        <v>80103</v>
      </c>
      <c r="B139" s="167" t="s">
        <v>261</v>
      </c>
      <c r="C139" s="387">
        <f>C141+C142</f>
        <v>606000</v>
      </c>
      <c r="D139" s="533">
        <f>D141+D142</f>
        <v>498100</v>
      </c>
      <c r="F139" s="621">
        <f>F141+F142</f>
        <v>606000</v>
      </c>
      <c r="G139" s="621">
        <f>G141+G142</f>
        <v>466500</v>
      </c>
      <c r="H139" s="628">
        <f>H141+H142</f>
        <v>0</v>
      </c>
      <c r="I139" s="689">
        <f t="shared" si="9"/>
        <v>0</v>
      </c>
    </row>
    <row r="140" spans="1:9" ht="12.75" customHeight="1">
      <c r="A140" s="166"/>
      <c r="B140" s="167" t="s">
        <v>71</v>
      </c>
      <c r="C140" s="387">
        <f>C141+C142</f>
        <v>606000</v>
      </c>
      <c r="D140" s="533">
        <f>D141+D142</f>
        <v>498100</v>
      </c>
      <c r="F140" s="621">
        <f>F141+F142</f>
        <v>606000</v>
      </c>
      <c r="G140" s="621">
        <f>G141+G142</f>
        <v>466500</v>
      </c>
      <c r="H140" s="628">
        <f>H141+H142</f>
        <v>0</v>
      </c>
      <c r="I140" s="689">
        <f t="shared" si="9"/>
        <v>0</v>
      </c>
    </row>
    <row r="141" spans="1:9" ht="12.75" customHeight="1">
      <c r="A141" s="166"/>
      <c r="B141" s="167" t="s">
        <v>76</v>
      </c>
      <c r="C141" s="387">
        <v>466500</v>
      </c>
      <c r="D141" s="533">
        <v>389700</v>
      </c>
      <c r="F141" s="621">
        <v>466500</v>
      </c>
      <c r="G141" s="621">
        <v>466500</v>
      </c>
      <c r="H141" s="628"/>
      <c r="I141" s="689">
        <f t="shared" si="9"/>
        <v>0</v>
      </c>
    </row>
    <row r="142" spans="1:9" ht="12.75" customHeight="1">
      <c r="A142" s="166"/>
      <c r="B142" s="167" t="s">
        <v>77</v>
      </c>
      <c r="C142" s="387">
        <v>139500</v>
      </c>
      <c r="D142" s="533">
        <v>108400</v>
      </c>
      <c r="F142" s="621">
        <v>139500</v>
      </c>
      <c r="G142" s="621"/>
      <c r="H142" s="628"/>
      <c r="I142" s="689">
        <f t="shared" si="9"/>
        <v>0</v>
      </c>
    </row>
    <row r="143" spans="1:9" ht="12.75" customHeight="1">
      <c r="A143" s="166">
        <v>80104</v>
      </c>
      <c r="B143" s="167" t="s">
        <v>246</v>
      </c>
      <c r="C143" s="482">
        <f>C144+C145</f>
        <v>2722407.34</v>
      </c>
      <c r="D143" s="530">
        <f>D144+D145</f>
        <v>1426000</v>
      </c>
      <c r="F143" s="618">
        <f>F144+F145</f>
        <v>1322407.34</v>
      </c>
      <c r="G143" s="618">
        <f>G144+G145</f>
        <v>0</v>
      </c>
      <c r="H143" s="626">
        <f>H144+H145</f>
        <v>1400000</v>
      </c>
      <c r="I143" s="689">
        <f t="shared" si="9"/>
        <v>0</v>
      </c>
    </row>
    <row r="144" spans="1:9" ht="12.75" customHeight="1">
      <c r="A144" s="166"/>
      <c r="B144" s="167" t="s">
        <v>421</v>
      </c>
      <c r="C144" s="482">
        <f>Dotacje!D26+Dotacje!D27-C165</f>
        <v>1322407.34</v>
      </c>
      <c r="D144" s="530">
        <f>648000+478000</f>
        <v>1126000</v>
      </c>
      <c r="F144" s="618">
        <v>1322407.34</v>
      </c>
      <c r="G144" s="618">
        <f>Dotacje!H26+Dotacje!H27</f>
        <v>0</v>
      </c>
      <c r="H144" s="626">
        <f>Dotacje!I26+Dotacje!I27</f>
        <v>0</v>
      </c>
      <c r="I144" s="689">
        <f t="shared" si="9"/>
        <v>0</v>
      </c>
    </row>
    <row r="145" spans="1:9" ht="12.75" customHeight="1">
      <c r="A145" s="166"/>
      <c r="B145" s="167" t="s">
        <v>57</v>
      </c>
      <c r="C145" s="482">
        <f>C146</f>
        <v>1400000</v>
      </c>
      <c r="D145" s="530">
        <f>D146</f>
        <v>300000</v>
      </c>
      <c r="F145" s="618">
        <f>F146</f>
        <v>0</v>
      </c>
      <c r="G145" s="618">
        <f>G146</f>
        <v>0</v>
      </c>
      <c r="H145" s="626">
        <f>H146</f>
        <v>1400000</v>
      </c>
      <c r="I145" s="689">
        <f t="shared" si="9"/>
        <v>0</v>
      </c>
    </row>
    <row r="146" spans="1:9" ht="38.25" customHeight="1">
      <c r="A146" s="166"/>
      <c r="B146" s="167" t="s">
        <v>505</v>
      </c>
      <c r="C146" s="482">
        <v>1400000</v>
      </c>
      <c r="D146" s="530">
        <v>300000</v>
      </c>
      <c r="F146" s="618"/>
      <c r="G146" s="618"/>
      <c r="H146" s="626">
        <v>1400000</v>
      </c>
      <c r="I146" s="689">
        <f t="shared" si="9"/>
        <v>0</v>
      </c>
    </row>
    <row r="147" spans="1:9" ht="12.75" customHeight="1">
      <c r="A147" s="166">
        <v>80110</v>
      </c>
      <c r="B147" s="167" t="s">
        <v>44</v>
      </c>
      <c r="C147" s="482">
        <f>C148</f>
        <v>3689472</v>
      </c>
      <c r="D147" s="530">
        <f>D148</f>
        <v>3236836</v>
      </c>
      <c r="F147" s="618">
        <f>F148</f>
        <v>3689472</v>
      </c>
      <c r="G147" s="618">
        <f>G148</f>
        <v>3137073</v>
      </c>
      <c r="H147" s="626">
        <f>H148</f>
        <v>0</v>
      </c>
      <c r="I147" s="689">
        <f t="shared" si="9"/>
        <v>0</v>
      </c>
    </row>
    <row r="148" spans="1:9" ht="12.75" customHeight="1">
      <c r="A148" s="166"/>
      <c r="B148" s="167" t="s">
        <v>24</v>
      </c>
      <c r="C148" s="482">
        <f>C149+C150</f>
        <v>3689472</v>
      </c>
      <c r="D148" s="530">
        <f>D149+D150</f>
        <v>3236836</v>
      </c>
      <c r="F148" s="618">
        <f>F149+F150</f>
        <v>3689472</v>
      </c>
      <c r="G148" s="618">
        <f>G149+G150</f>
        <v>3137073</v>
      </c>
      <c r="H148" s="626">
        <f>H149+H150</f>
        <v>0</v>
      </c>
      <c r="I148" s="689">
        <f t="shared" si="9"/>
        <v>0</v>
      </c>
    </row>
    <row r="149" spans="1:9" ht="12.75" customHeight="1">
      <c r="A149" s="166"/>
      <c r="B149" s="167" t="s">
        <v>76</v>
      </c>
      <c r="C149" s="387">
        <v>3137073</v>
      </c>
      <c r="D149" s="533">
        <v>2731643</v>
      </c>
      <c r="F149" s="621">
        <v>3137073</v>
      </c>
      <c r="G149" s="621">
        <v>3137073</v>
      </c>
      <c r="H149" s="628"/>
      <c r="I149" s="689">
        <f t="shared" si="9"/>
        <v>0</v>
      </c>
    </row>
    <row r="150" spans="1:9" ht="12.75" customHeight="1">
      <c r="A150" s="166"/>
      <c r="B150" s="167" t="s">
        <v>77</v>
      </c>
      <c r="C150" s="387">
        <v>552399</v>
      </c>
      <c r="D150" s="533">
        <v>505193</v>
      </c>
      <c r="F150" s="621">
        <v>552399</v>
      </c>
      <c r="G150" s="621"/>
      <c r="H150" s="628"/>
      <c r="I150" s="689">
        <f t="shared" si="9"/>
        <v>0</v>
      </c>
    </row>
    <row r="151" spans="1:9" ht="12.75" customHeight="1">
      <c r="A151" s="166">
        <v>80113</v>
      </c>
      <c r="B151" s="167" t="s">
        <v>45</v>
      </c>
      <c r="C151" s="482">
        <f>C152</f>
        <v>423660</v>
      </c>
      <c r="D151" s="530">
        <f>D152</f>
        <v>327780</v>
      </c>
      <c r="F151" s="618">
        <f>F152</f>
        <v>423660</v>
      </c>
      <c r="G151" s="618">
        <f>G152</f>
        <v>53400</v>
      </c>
      <c r="H151" s="626">
        <f>H152</f>
        <v>0</v>
      </c>
      <c r="I151" s="689">
        <f t="shared" si="9"/>
        <v>0</v>
      </c>
    </row>
    <row r="152" spans="1:9" ht="12.75" customHeight="1">
      <c r="A152" s="166"/>
      <c r="B152" s="167" t="s">
        <v>24</v>
      </c>
      <c r="C152" s="482">
        <f>C153+C154</f>
        <v>423660</v>
      </c>
      <c r="D152" s="530">
        <f>D153+D154</f>
        <v>327780</v>
      </c>
      <c r="F152" s="618">
        <f>F153+F154</f>
        <v>423660</v>
      </c>
      <c r="G152" s="618">
        <f>G153+G154</f>
        <v>53400</v>
      </c>
      <c r="H152" s="626">
        <f>H153+H154</f>
        <v>0</v>
      </c>
      <c r="I152" s="689">
        <f t="shared" si="9"/>
        <v>0</v>
      </c>
    </row>
    <row r="153" spans="1:9" ht="12.75" customHeight="1">
      <c r="A153" s="166"/>
      <c r="B153" s="167" t="s">
        <v>76</v>
      </c>
      <c r="C153" s="387">
        <v>53400</v>
      </c>
      <c r="D153" s="533">
        <v>52950</v>
      </c>
      <c r="F153" s="621">
        <v>53400</v>
      </c>
      <c r="G153" s="621">
        <v>53400</v>
      </c>
      <c r="H153" s="628"/>
      <c r="I153" s="689">
        <f t="shared" si="9"/>
        <v>0</v>
      </c>
    </row>
    <row r="154" spans="1:9" ht="12.75" customHeight="1">
      <c r="A154" s="166"/>
      <c r="B154" s="167" t="s">
        <v>77</v>
      </c>
      <c r="C154" s="387">
        <v>370260</v>
      </c>
      <c r="D154" s="533">
        <v>274830</v>
      </c>
      <c r="F154" s="621">
        <v>370260</v>
      </c>
      <c r="G154" s="621"/>
      <c r="H154" s="628"/>
      <c r="I154" s="689">
        <f t="shared" si="9"/>
        <v>0</v>
      </c>
    </row>
    <row r="155" spans="1:9" ht="12.75" customHeight="1">
      <c r="A155" s="166">
        <v>80146</v>
      </c>
      <c r="B155" s="167" t="s">
        <v>89</v>
      </c>
      <c r="C155" s="387">
        <f>C156</f>
        <v>77910</v>
      </c>
      <c r="D155" s="533">
        <f>D156</f>
        <v>70070</v>
      </c>
      <c r="F155" s="621">
        <f>F156</f>
        <v>77910</v>
      </c>
      <c r="G155" s="621">
        <f>G156</f>
        <v>18507</v>
      </c>
      <c r="H155" s="628">
        <f>H156</f>
        <v>0</v>
      </c>
      <c r="I155" s="689">
        <f t="shared" si="9"/>
        <v>0</v>
      </c>
    </row>
    <row r="156" spans="1:9" ht="12.75" customHeight="1">
      <c r="A156" s="166"/>
      <c r="B156" s="167" t="str">
        <f>B164</f>
        <v>Wydatki bieżące</v>
      </c>
      <c r="C156" s="387">
        <f>C157+C158</f>
        <v>77910</v>
      </c>
      <c r="D156" s="533">
        <f>D157+D158</f>
        <v>70070</v>
      </c>
      <c r="F156" s="621">
        <f>F157+F158</f>
        <v>77910</v>
      </c>
      <c r="G156" s="621">
        <f>G157+G158</f>
        <v>18507</v>
      </c>
      <c r="H156" s="628">
        <f>H157+H158</f>
        <v>0</v>
      </c>
      <c r="I156" s="689">
        <f t="shared" si="9"/>
        <v>0</v>
      </c>
    </row>
    <row r="157" spans="1:9" ht="12.75" customHeight="1">
      <c r="A157" s="166"/>
      <c r="B157" s="167" t="s">
        <v>76</v>
      </c>
      <c r="C157" s="387">
        <v>18507</v>
      </c>
      <c r="D157" s="533">
        <v>16064</v>
      </c>
      <c r="F157" s="621">
        <v>18507</v>
      </c>
      <c r="G157" s="621">
        <v>18507</v>
      </c>
      <c r="H157" s="628"/>
      <c r="I157" s="689">
        <f t="shared" si="9"/>
        <v>0</v>
      </c>
    </row>
    <row r="158" spans="1:9" ht="12.75" customHeight="1">
      <c r="A158" s="166"/>
      <c r="B158" s="167" t="s">
        <v>77</v>
      </c>
      <c r="C158" s="387">
        <v>59403</v>
      </c>
      <c r="D158" s="533">
        <v>54006</v>
      </c>
      <c r="F158" s="621">
        <v>59403</v>
      </c>
      <c r="G158" s="621"/>
      <c r="H158" s="628"/>
      <c r="I158" s="689">
        <f t="shared" si="9"/>
        <v>0</v>
      </c>
    </row>
    <row r="159" spans="1:9" ht="12.75" customHeight="1">
      <c r="A159" s="166">
        <v>80148</v>
      </c>
      <c r="B159" s="167" t="s">
        <v>569</v>
      </c>
      <c r="C159" s="387">
        <f>C160</f>
        <v>506083</v>
      </c>
      <c r="D159" s="533"/>
      <c r="F159" s="621">
        <f>F160</f>
        <v>506083</v>
      </c>
      <c r="G159" s="621">
        <f>G160</f>
        <v>400420</v>
      </c>
      <c r="H159" s="628">
        <f>H160</f>
        <v>0</v>
      </c>
      <c r="I159" s="689">
        <f t="shared" si="9"/>
        <v>0</v>
      </c>
    </row>
    <row r="160" spans="1:9" ht="12.75" customHeight="1">
      <c r="A160" s="166"/>
      <c r="B160" s="167" t="s">
        <v>24</v>
      </c>
      <c r="C160" s="387">
        <f>C161+C162</f>
        <v>506083</v>
      </c>
      <c r="D160" s="533"/>
      <c r="F160" s="621">
        <f>F161+F162</f>
        <v>506083</v>
      </c>
      <c r="G160" s="621">
        <f>G161+G162</f>
        <v>400420</v>
      </c>
      <c r="H160" s="628">
        <f>H161+H162</f>
        <v>0</v>
      </c>
      <c r="I160" s="689">
        <f t="shared" si="9"/>
        <v>0</v>
      </c>
    </row>
    <row r="161" spans="1:9" ht="12.75" customHeight="1">
      <c r="A161" s="166"/>
      <c r="B161" s="167" t="s">
        <v>76</v>
      </c>
      <c r="C161" s="387">
        <v>400420</v>
      </c>
      <c r="D161" s="533"/>
      <c r="F161" s="621">
        <v>400420</v>
      </c>
      <c r="G161" s="621">
        <v>400420</v>
      </c>
      <c r="H161" s="628"/>
      <c r="I161" s="689">
        <f t="shared" si="9"/>
        <v>0</v>
      </c>
    </row>
    <row r="162" spans="1:9" ht="12.75" customHeight="1">
      <c r="A162" s="166"/>
      <c r="B162" s="167" t="s">
        <v>77</v>
      </c>
      <c r="C162" s="387">
        <v>105663</v>
      </c>
      <c r="D162" s="533"/>
      <c r="F162" s="621">
        <v>105663</v>
      </c>
      <c r="G162" s="621"/>
      <c r="H162" s="628"/>
      <c r="I162" s="689">
        <f t="shared" si="9"/>
        <v>0</v>
      </c>
    </row>
    <row r="163" spans="1:9" ht="12.75" customHeight="1">
      <c r="A163" s="166">
        <v>80195</v>
      </c>
      <c r="B163" s="167" t="s">
        <v>570</v>
      </c>
      <c r="C163" s="482">
        <f>C164+C168</f>
        <v>2016730</v>
      </c>
      <c r="D163" s="530">
        <f>D164</f>
        <v>1560931</v>
      </c>
      <c r="F163" s="618">
        <f>F164+F168</f>
        <v>1986730</v>
      </c>
      <c r="G163" s="618">
        <f>G164+G168</f>
        <v>988500</v>
      </c>
      <c r="H163" s="626">
        <f>H164+H168</f>
        <v>30000</v>
      </c>
      <c r="I163" s="689">
        <f t="shared" si="9"/>
        <v>0</v>
      </c>
    </row>
    <row r="164" spans="1:9" ht="12.75" customHeight="1">
      <c r="A164" s="166"/>
      <c r="B164" s="167" t="s">
        <v>24</v>
      </c>
      <c r="C164" s="482">
        <f>C166+C167+C165</f>
        <v>1986730</v>
      </c>
      <c r="D164" s="530">
        <f>D166+D167</f>
        <v>1560931</v>
      </c>
      <c r="F164" s="498">
        <f>F166+F167+F165</f>
        <v>1986730</v>
      </c>
      <c r="G164" s="618">
        <f>G166+G167</f>
        <v>988500</v>
      </c>
      <c r="H164" s="626">
        <f>H166+H167</f>
        <v>0</v>
      </c>
      <c r="I164" s="689">
        <f t="shared" si="9"/>
        <v>0</v>
      </c>
    </row>
    <row r="165" spans="1:9" ht="12.75" customHeight="1">
      <c r="A165" s="166"/>
      <c r="B165" s="167" t="s">
        <v>421</v>
      </c>
      <c r="C165" s="482">
        <f>34416.23+5466.11+592.66</f>
        <v>40475</v>
      </c>
      <c r="D165" s="530"/>
      <c r="F165" s="498">
        <f>34416.23+5466.11+592.66</f>
        <v>40475</v>
      </c>
      <c r="G165" s="618"/>
      <c r="H165" s="626"/>
      <c r="I165" s="689">
        <f t="shared" si="9"/>
        <v>0</v>
      </c>
    </row>
    <row r="166" spans="1:9" ht="12.75" customHeight="1">
      <c r="A166" s="166"/>
      <c r="B166" s="167" t="s">
        <v>75</v>
      </c>
      <c r="C166" s="387">
        <f>898500+90000</f>
        <v>988500</v>
      </c>
      <c r="D166" s="533">
        <v>823000</v>
      </c>
      <c r="F166" s="621">
        <f>898500+90000</f>
        <v>988500</v>
      </c>
      <c r="G166" s="621">
        <f>898500+90000</f>
        <v>988500</v>
      </c>
      <c r="H166" s="628"/>
      <c r="I166" s="689">
        <f t="shared" si="9"/>
        <v>0</v>
      </c>
    </row>
    <row r="167" spans="1:9" ht="12.75" customHeight="1">
      <c r="A167" s="166"/>
      <c r="B167" s="167" t="s">
        <v>77</v>
      </c>
      <c r="C167" s="387">
        <f>101605+660600+143000+52550</f>
        <v>957755</v>
      </c>
      <c r="D167" s="533">
        <f>95871+642060</f>
        <v>737931</v>
      </c>
      <c r="F167" s="621">
        <f>101605+660600+143000+52550</f>
        <v>957755</v>
      </c>
      <c r="G167" s="621"/>
      <c r="H167" s="628"/>
      <c r="I167" s="689">
        <f t="shared" si="9"/>
        <v>0</v>
      </c>
    </row>
    <row r="168" spans="1:9" ht="12.75" customHeight="1">
      <c r="A168" s="166"/>
      <c r="B168" s="167" t="s">
        <v>57</v>
      </c>
      <c r="C168" s="387">
        <f>C169</f>
        <v>30000</v>
      </c>
      <c r="D168" s="533"/>
      <c r="F168" s="621">
        <f>F169</f>
        <v>0</v>
      </c>
      <c r="G168" s="621">
        <f>G169</f>
        <v>0</v>
      </c>
      <c r="H168" s="628">
        <f>H169</f>
        <v>30000</v>
      </c>
      <c r="I168" s="689">
        <f t="shared" si="9"/>
        <v>0</v>
      </c>
    </row>
    <row r="169" spans="1:9" ht="12.75" customHeight="1">
      <c r="A169" s="166"/>
      <c r="B169" s="167" t="s">
        <v>237</v>
      </c>
      <c r="C169" s="387">
        <v>30000</v>
      </c>
      <c r="D169" s="531"/>
      <c r="F169" s="619"/>
      <c r="G169" s="619"/>
      <c r="H169" s="641">
        <v>30000</v>
      </c>
      <c r="I169" s="689">
        <f t="shared" si="9"/>
        <v>0</v>
      </c>
    </row>
    <row r="170" spans="1:9" s="90" customFormat="1" ht="12.75" customHeight="1">
      <c r="A170" s="461">
        <v>851</v>
      </c>
      <c r="B170" s="462" t="s">
        <v>46</v>
      </c>
      <c r="C170" s="523">
        <f>C171+C173</f>
        <v>180000</v>
      </c>
      <c r="D170" s="688">
        <f>D171+D173</f>
        <v>180000</v>
      </c>
      <c r="E170" s="596"/>
      <c r="F170" s="620">
        <f>F171+F173</f>
        <v>180000</v>
      </c>
      <c r="G170" s="620">
        <f>G171+G173</f>
        <v>24000</v>
      </c>
      <c r="H170" s="620">
        <f>H171+H173</f>
        <v>0</v>
      </c>
      <c r="I170" s="689">
        <f t="shared" si="9"/>
        <v>0</v>
      </c>
    </row>
    <row r="171" spans="1:9" s="90" customFormat="1" ht="12.75" customHeight="1">
      <c r="A171" s="166">
        <v>85153</v>
      </c>
      <c r="B171" s="167" t="s">
        <v>390</v>
      </c>
      <c r="C171" s="498">
        <f>C172</f>
        <v>10000</v>
      </c>
      <c r="D171" s="538">
        <f>D172</f>
        <v>10000</v>
      </c>
      <c r="E171" s="596"/>
      <c r="F171" s="618">
        <f>F172</f>
        <v>10000</v>
      </c>
      <c r="G171" s="618">
        <f>G172</f>
        <v>0</v>
      </c>
      <c r="H171" s="618">
        <f>H172</f>
        <v>0</v>
      </c>
      <c r="I171" s="689">
        <f t="shared" si="9"/>
        <v>0</v>
      </c>
    </row>
    <row r="172" spans="1:9" s="90" customFormat="1" ht="12.75" customHeight="1">
      <c r="A172" s="166"/>
      <c r="B172" s="167" t="s">
        <v>24</v>
      </c>
      <c r="C172" s="498">
        <v>10000</v>
      </c>
      <c r="D172" s="538">
        <v>10000</v>
      </c>
      <c r="E172" s="596"/>
      <c r="F172" s="618">
        <v>10000</v>
      </c>
      <c r="G172" s="618"/>
      <c r="H172" s="618"/>
      <c r="I172" s="689">
        <f t="shared" si="9"/>
        <v>0</v>
      </c>
    </row>
    <row r="173" spans="1:9" ht="12.75" customHeight="1">
      <c r="A173" s="166">
        <v>85154</v>
      </c>
      <c r="B173" s="167" t="s">
        <v>47</v>
      </c>
      <c r="C173" s="498">
        <f>C174</f>
        <v>170000</v>
      </c>
      <c r="D173" s="538">
        <f>D174</f>
        <v>170000</v>
      </c>
      <c r="F173" s="618">
        <f>F174</f>
        <v>170000</v>
      </c>
      <c r="G173" s="618">
        <f>G174</f>
        <v>24000</v>
      </c>
      <c r="H173" s="618">
        <f>H174</f>
        <v>0</v>
      </c>
      <c r="I173" s="689">
        <f t="shared" si="9"/>
        <v>0</v>
      </c>
    </row>
    <row r="174" spans="1:9" ht="12.75" customHeight="1">
      <c r="A174" s="166"/>
      <c r="B174" s="167" t="s">
        <v>65</v>
      </c>
      <c r="C174" s="498">
        <f>C175+C176+C177</f>
        <v>170000</v>
      </c>
      <c r="D174" s="538">
        <f>D175+D176+D177</f>
        <v>170000</v>
      </c>
      <c r="F174" s="618">
        <f>F175+F176+F177</f>
        <v>170000</v>
      </c>
      <c r="G174" s="618">
        <f>G175+G176+G177</f>
        <v>24000</v>
      </c>
      <c r="H174" s="618">
        <f>H175+H176+H177</f>
        <v>0</v>
      </c>
      <c r="I174" s="689">
        <f t="shared" si="9"/>
        <v>0</v>
      </c>
    </row>
    <row r="175" spans="1:9" ht="12.75" customHeight="1">
      <c r="A175" s="166"/>
      <c r="B175" s="167" t="s">
        <v>422</v>
      </c>
      <c r="C175" s="386">
        <v>10000</v>
      </c>
      <c r="D175" s="536">
        <v>10000</v>
      </c>
      <c r="F175" s="621">
        <v>10000</v>
      </c>
      <c r="G175" s="621"/>
      <c r="H175" s="621"/>
      <c r="I175" s="689">
        <f t="shared" si="9"/>
        <v>0</v>
      </c>
    </row>
    <row r="176" spans="1:9" ht="12.75" customHeight="1">
      <c r="A176" s="166"/>
      <c r="B176" s="167" t="s">
        <v>80</v>
      </c>
      <c r="C176" s="386">
        <v>24000</v>
      </c>
      <c r="D176" s="536">
        <v>24000</v>
      </c>
      <c r="F176" s="621">
        <v>24000</v>
      </c>
      <c r="G176" s="621">
        <v>24000</v>
      </c>
      <c r="H176" s="621"/>
      <c r="I176" s="689">
        <f t="shared" si="9"/>
        <v>0</v>
      </c>
    </row>
    <row r="177" spans="1:9" ht="12.75" customHeight="1">
      <c r="A177" s="301"/>
      <c r="B177" s="344" t="s">
        <v>73</v>
      </c>
      <c r="C177" s="455">
        <v>136000</v>
      </c>
      <c r="D177" s="537">
        <v>136000</v>
      </c>
      <c r="F177" s="619">
        <v>136000</v>
      </c>
      <c r="G177" s="619"/>
      <c r="H177" s="619"/>
      <c r="I177" s="689">
        <f t="shared" si="9"/>
        <v>0</v>
      </c>
    </row>
    <row r="178" spans="1:9" s="90" customFormat="1" ht="12.75" customHeight="1">
      <c r="A178" s="305">
        <v>852</v>
      </c>
      <c r="B178" s="305" t="s">
        <v>106</v>
      </c>
      <c r="C178" s="522">
        <f>C181+C189+C191+C195+C197+C201+C205+C185+C179</f>
        <v>9313012</v>
      </c>
      <c r="D178" s="534">
        <f>D181+D189+D191+D195+D197+D201+D205+D185+D179</f>
        <v>9850480</v>
      </c>
      <c r="E178" s="596"/>
      <c r="F178" s="622">
        <f>F181+F189+F191+F195+F197+F201+F205+F185+F179</f>
        <v>9313012</v>
      </c>
      <c r="G178" s="622">
        <f>G181+G189+G191+G195+G197+G201+G205+G185+G179</f>
        <v>901800</v>
      </c>
      <c r="H178" s="622">
        <f>H181+H189+H191+H195+H197+H201+H205+H185+H179</f>
        <v>0</v>
      </c>
      <c r="I178" s="689">
        <f t="shared" si="9"/>
        <v>0</v>
      </c>
    </row>
    <row r="179" spans="1:9" s="90" customFormat="1" ht="12.75" customHeight="1">
      <c r="A179" s="167">
        <v>85202</v>
      </c>
      <c r="B179" s="167" t="s">
        <v>260</v>
      </c>
      <c r="C179" s="498">
        <f>C180</f>
        <v>258432</v>
      </c>
      <c r="D179" s="530">
        <f>D180</f>
        <v>194000</v>
      </c>
      <c r="E179" s="596"/>
      <c r="F179" s="618">
        <f>F180</f>
        <v>258432</v>
      </c>
      <c r="G179" s="618">
        <f>G180</f>
        <v>0</v>
      </c>
      <c r="H179" s="618">
        <f>H180</f>
        <v>0</v>
      </c>
      <c r="I179" s="689">
        <f t="shared" si="9"/>
        <v>0</v>
      </c>
    </row>
    <row r="180" spans="1:9" s="90" customFormat="1" ht="12.75" customHeight="1">
      <c r="A180" s="167"/>
      <c r="B180" s="167" t="s">
        <v>24</v>
      </c>
      <c r="C180" s="498">
        <v>258432</v>
      </c>
      <c r="D180" s="530">
        <v>194000</v>
      </c>
      <c r="E180" s="596"/>
      <c r="F180" s="618">
        <v>258432</v>
      </c>
      <c r="G180" s="618"/>
      <c r="H180" s="618"/>
      <c r="I180" s="689">
        <f t="shared" si="9"/>
        <v>0</v>
      </c>
    </row>
    <row r="181" spans="1:9" ht="12.75" customHeight="1">
      <c r="A181" s="167">
        <v>85203</v>
      </c>
      <c r="B181" s="167" t="s">
        <v>48</v>
      </c>
      <c r="C181" s="498">
        <f>C182</f>
        <v>406900</v>
      </c>
      <c r="D181" s="530">
        <f>D182</f>
        <v>379440</v>
      </c>
      <c r="F181" s="618">
        <f>F182</f>
        <v>406900</v>
      </c>
      <c r="G181" s="618">
        <f>G182</f>
        <v>285400</v>
      </c>
      <c r="H181" s="618">
        <f>H182</f>
        <v>0</v>
      </c>
      <c r="I181" s="689">
        <f t="shared" si="9"/>
        <v>0</v>
      </c>
    </row>
    <row r="182" spans="1:9" ht="12.75" customHeight="1">
      <c r="A182" s="167"/>
      <c r="B182" s="167" t="s">
        <v>24</v>
      </c>
      <c r="C182" s="498">
        <f>C183+C184</f>
        <v>406900</v>
      </c>
      <c r="D182" s="530">
        <f>D183+D184</f>
        <v>379440</v>
      </c>
      <c r="F182" s="618">
        <f>F183+F184</f>
        <v>406900</v>
      </c>
      <c r="G182" s="618">
        <f>G183+G184</f>
        <v>285400</v>
      </c>
      <c r="H182" s="618">
        <f>H183+H184</f>
        <v>0</v>
      </c>
      <c r="I182" s="689">
        <f t="shared" si="9"/>
        <v>0</v>
      </c>
    </row>
    <row r="183" spans="1:9" ht="12.75" customHeight="1">
      <c r="A183" s="167"/>
      <c r="B183" s="167" t="s">
        <v>75</v>
      </c>
      <c r="C183" s="498">
        <f>274000+11400</f>
        <v>285400</v>
      </c>
      <c r="D183" s="530">
        <v>231100</v>
      </c>
      <c r="F183" s="618">
        <f>274000+11400</f>
        <v>285400</v>
      </c>
      <c r="G183" s="618">
        <f>274000+11400</f>
        <v>285400</v>
      </c>
      <c r="H183" s="618"/>
      <c r="I183" s="689">
        <f t="shared" si="9"/>
        <v>0</v>
      </c>
    </row>
    <row r="184" spans="1:9" ht="12.75" customHeight="1">
      <c r="A184" s="167"/>
      <c r="B184" s="167" t="s">
        <v>77</v>
      </c>
      <c r="C184" s="498">
        <v>121500</v>
      </c>
      <c r="D184" s="530">
        <v>148340</v>
      </c>
      <c r="F184" s="618">
        <v>121500</v>
      </c>
      <c r="G184" s="618"/>
      <c r="H184" s="618"/>
      <c r="I184" s="689">
        <f t="shared" si="9"/>
        <v>0</v>
      </c>
    </row>
    <row r="185" spans="1:9" ht="12.75" customHeight="1">
      <c r="A185" s="478">
        <v>85212</v>
      </c>
      <c r="B185" s="167" t="s">
        <v>235</v>
      </c>
      <c r="C185" s="498">
        <f>C186</f>
        <v>5247300</v>
      </c>
      <c r="D185" s="530">
        <f>D186</f>
        <v>5679000</v>
      </c>
      <c r="F185" s="618">
        <f>F186</f>
        <v>5247300</v>
      </c>
      <c r="G185" s="618">
        <f>G186</f>
        <v>138400</v>
      </c>
      <c r="H185" s="618">
        <f>H186</f>
        <v>0</v>
      </c>
      <c r="I185" s="689">
        <f t="shared" si="9"/>
        <v>0</v>
      </c>
    </row>
    <row r="186" spans="1:9" ht="12.75" customHeight="1">
      <c r="A186" s="479"/>
      <c r="B186" s="167" t="s">
        <v>24</v>
      </c>
      <c r="C186" s="498">
        <f>C187+C188</f>
        <v>5247300</v>
      </c>
      <c r="D186" s="530">
        <f>D187+D188</f>
        <v>5679000</v>
      </c>
      <c r="F186" s="618">
        <f>F187+F188</f>
        <v>5247300</v>
      </c>
      <c r="G186" s="618">
        <f>G187+G188</f>
        <v>138400</v>
      </c>
      <c r="H186" s="618">
        <f>H187+H188</f>
        <v>0</v>
      </c>
      <c r="I186" s="689">
        <f t="shared" si="9"/>
        <v>0</v>
      </c>
    </row>
    <row r="187" spans="1:9" ht="12.75" customHeight="1">
      <c r="A187" s="479"/>
      <c r="B187" s="167" t="s">
        <v>72</v>
      </c>
      <c r="C187" s="498">
        <v>138400</v>
      </c>
      <c r="D187" s="530">
        <f>93500+43000</f>
        <v>136500</v>
      </c>
      <c r="F187" s="618">
        <v>138400</v>
      </c>
      <c r="G187" s="618">
        <v>138400</v>
      </c>
      <c r="H187" s="618"/>
      <c r="I187" s="689">
        <f t="shared" si="9"/>
        <v>0</v>
      </c>
    </row>
    <row r="188" spans="1:9" ht="12.75" customHeight="1">
      <c r="A188" s="479"/>
      <c r="B188" s="167" t="s">
        <v>73</v>
      </c>
      <c r="C188" s="498">
        <v>5108900</v>
      </c>
      <c r="D188" s="530">
        <v>5542500</v>
      </c>
      <c r="F188" s="618">
        <v>5108900</v>
      </c>
      <c r="G188" s="618"/>
      <c r="H188" s="618"/>
      <c r="I188" s="689">
        <f t="shared" si="9"/>
        <v>0</v>
      </c>
    </row>
    <row r="189" spans="1:9" ht="12.75" customHeight="1">
      <c r="A189" s="167">
        <v>85213</v>
      </c>
      <c r="B189" s="167" t="s">
        <v>49</v>
      </c>
      <c r="C189" s="498">
        <f>C190</f>
        <v>28480</v>
      </c>
      <c r="D189" s="530">
        <f>D190</f>
        <v>34000</v>
      </c>
      <c r="F189" s="618">
        <f>F190</f>
        <v>28480</v>
      </c>
      <c r="G189" s="618">
        <f>G190</f>
        <v>0</v>
      </c>
      <c r="H189" s="618">
        <f>H190</f>
        <v>0</v>
      </c>
      <c r="I189" s="689">
        <f t="shared" si="9"/>
        <v>0</v>
      </c>
    </row>
    <row r="190" spans="1:9" ht="12.75" customHeight="1">
      <c r="A190" s="167"/>
      <c r="B190" s="167" t="s">
        <v>50</v>
      </c>
      <c r="C190" s="386">
        <v>28480</v>
      </c>
      <c r="D190" s="533">
        <v>34000</v>
      </c>
      <c r="F190" s="621">
        <v>28480</v>
      </c>
      <c r="G190" s="621"/>
      <c r="H190" s="621"/>
      <c r="I190" s="689">
        <f t="shared" si="9"/>
        <v>0</v>
      </c>
    </row>
    <row r="191" spans="1:9" ht="12.75" customHeight="1">
      <c r="A191" s="167">
        <v>85214</v>
      </c>
      <c r="B191" s="167" t="s">
        <v>66</v>
      </c>
      <c r="C191" s="498">
        <f>C192</f>
        <v>898100</v>
      </c>
      <c r="D191" s="530">
        <f>D192</f>
        <v>1247000</v>
      </c>
      <c r="F191" s="618">
        <f>F192</f>
        <v>898100</v>
      </c>
      <c r="G191" s="618">
        <f>G192</f>
        <v>0</v>
      </c>
      <c r="H191" s="618">
        <f>H192</f>
        <v>0</v>
      </c>
      <c r="I191" s="689">
        <f t="shared" si="9"/>
        <v>0</v>
      </c>
    </row>
    <row r="192" spans="1:9" ht="12.75" customHeight="1">
      <c r="A192" s="167"/>
      <c r="B192" s="167" t="s">
        <v>24</v>
      </c>
      <c r="C192" s="498">
        <f>C193+C194</f>
        <v>898100</v>
      </c>
      <c r="D192" s="530">
        <f>D193+D194</f>
        <v>1247000</v>
      </c>
      <c r="F192" s="618">
        <f>F193+F194</f>
        <v>898100</v>
      </c>
      <c r="G192" s="618">
        <f>G193+G194</f>
        <v>0</v>
      </c>
      <c r="H192" s="618"/>
      <c r="I192" s="689">
        <f t="shared" si="9"/>
        <v>0</v>
      </c>
    </row>
    <row r="193" spans="1:9" ht="12.75" customHeight="1">
      <c r="A193" s="167"/>
      <c r="B193" s="167" t="s">
        <v>81</v>
      </c>
      <c r="C193" s="386">
        <f>240000+444200</f>
        <v>684200</v>
      </c>
      <c r="D193" s="533">
        <f>230000+758000</f>
        <v>988000</v>
      </c>
      <c r="F193" s="621">
        <f>240000+444200</f>
        <v>684200</v>
      </c>
      <c r="G193" s="621"/>
      <c r="H193" s="621"/>
      <c r="I193" s="689">
        <f t="shared" si="9"/>
        <v>0</v>
      </c>
    </row>
    <row r="194" spans="1:9" ht="12.75" customHeight="1">
      <c r="A194" s="167"/>
      <c r="B194" s="167" t="s">
        <v>82</v>
      </c>
      <c r="C194" s="386">
        <v>213900</v>
      </c>
      <c r="D194" s="533">
        <v>259000</v>
      </c>
      <c r="F194" s="621">
        <v>213900</v>
      </c>
      <c r="G194" s="621"/>
      <c r="H194" s="621"/>
      <c r="I194" s="689">
        <f t="shared" si="9"/>
        <v>0</v>
      </c>
    </row>
    <row r="195" spans="1:9" ht="12.75" customHeight="1">
      <c r="A195" s="167">
        <v>85215</v>
      </c>
      <c r="B195" s="167" t="s">
        <v>51</v>
      </c>
      <c r="C195" s="498">
        <f>C196</f>
        <v>1100000</v>
      </c>
      <c r="D195" s="530">
        <f>D196</f>
        <v>1200000</v>
      </c>
      <c r="F195" s="618">
        <f>F196</f>
        <v>1100000</v>
      </c>
      <c r="G195" s="618">
        <f>G196</f>
        <v>0</v>
      </c>
      <c r="H195" s="618">
        <f>H196</f>
        <v>0</v>
      </c>
      <c r="I195" s="689">
        <f t="shared" si="9"/>
        <v>0</v>
      </c>
    </row>
    <row r="196" spans="1:9" ht="12.75" customHeight="1">
      <c r="A196" s="466"/>
      <c r="B196" s="167" t="s">
        <v>24</v>
      </c>
      <c r="C196" s="386">
        <f>1200000-52000-30000-18000</f>
        <v>1100000</v>
      </c>
      <c r="D196" s="533">
        <v>1200000</v>
      </c>
      <c r="F196" s="621">
        <f>1200000-52000-48000</f>
        <v>1100000</v>
      </c>
      <c r="G196" s="621"/>
      <c r="H196" s="621"/>
      <c r="I196" s="689">
        <f t="shared" si="9"/>
        <v>0</v>
      </c>
    </row>
    <row r="197" spans="1:9" ht="12.75" customHeight="1">
      <c r="A197" s="167">
        <v>85219</v>
      </c>
      <c r="B197" s="167" t="s">
        <v>52</v>
      </c>
      <c r="C197" s="498">
        <f>C198</f>
        <v>584700</v>
      </c>
      <c r="D197" s="530">
        <f>D198</f>
        <v>545000</v>
      </c>
      <c r="F197" s="618">
        <f>F198</f>
        <v>584700</v>
      </c>
      <c r="G197" s="618">
        <f>G198</f>
        <v>478000</v>
      </c>
      <c r="H197" s="618">
        <f>H198</f>
        <v>0</v>
      </c>
      <c r="I197" s="689">
        <f t="shared" si="9"/>
        <v>0</v>
      </c>
    </row>
    <row r="198" spans="1:9" ht="12.75" customHeight="1">
      <c r="A198" s="466"/>
      <c r="B198" s="167" t="s">
        <v>24</v>
      </c>
      <c r="C198" s="498">
        <f>C199+C200</f>
        <v>584700</v>
      </c>
      <c r="D198" s="530">
        <f>D199+D200</f>
        <v>545000</v>
      </c>
      <c r="F198" s="618">
        <f>F199+F200</f>
        <v>584700</v>
      </c>
      <c r="G198" s="618">
        <f>G199+G200</f>
        <v>478000</v>
      </c>
      <c r="H198" s="618">
        <f>H199+H200</f>
        <v>0</v>
      </c>
      <c r="I198" s="689">
        <f t="shared" si="9"/>
        <v>0</v>
      </c>
    </row>
    <row r="199" spans="1:9" ht="12.75" customHeight="1">
      <c r="A199" s="167"/>
      <c r="B199" s="167" t="s">
        <v>72</v>
      </c>
      <c r="C199" s="386">
        <v>478000</v>
      </c>
      <c r="D199" s="533">
        <v>450000</v>
      </c>
      <c r="F199" s="621">
        <v>478000</v>
      </c>
      <c r="G199" s="621">
        <v>478000</v>
      </c>
      <c r="H199" s="621"/>
      <c r="I199" s="689">
        <f aca="true" t="shared" si="10" ref="I199:I262">C199-F199-H199</f>
        <v>0</v>
      </c>
    </row>
    <row r="200" spans="1:9" ht="12.75" customHeight="1">
      <c r="A200" s="167"/>
      <c r="B200" s="167" t="s">
        <v>73</v>
      </c>
      <c r="C200" s="386">
        <f>584700-478000</f>
        <v>106700</v>
      </c>
      <c r="D200" s="533">
        <v>95000</v>
      </c>
      <c r="F200" s="621">
        <f>584700-478000</f>
        <v>106700</v>
      </c>
      <c r="G200" s="621"/>
      <c r="H200" s="621"/>
      <c r="I200" s="689">
        <f t="shared" si="10"/>
        <v>0</v>
      </c>
    </row>
    <row r="201" spans="1:9" ht="12.75" customHeight="1">
      <c r="A201" s="166">
        <v>85228</v>
      </c>
      <c r="B201" s="167" t="s">
        <v>53</v>
      </c>
      <c r="C201" s="482">
        <f>C202</f>
        <v>230100</v>
      </c>
      <c r="D201" s="538">
        <f>D202</f>
        <v>202040</v>
      </c>
      <c r="F201" s="618">
        <f>F202</f>
        <v>230100</v>
      </c>
      <c r="G201" s="626">
        <f>G202</f>
        <v>0</v>
      </c>
      <c r="H201" s="626">
        <f>H202</f>
        <v>0</v>
      </c>
      <c r="I201" s="689">
        <f t="shared" si="10"/>
        <v>0</v>
      </c>
    </row>
    <row r="202" spans="1:9" ht="12.75" customHeight="1">
      <c r="A202" s="480"/>
      <c r="B202" s="167" t="s">
        <v>24</v>
      </c>
      <c r="C202" s="387">
        <f>C203+C204</f>
        <v>230100</v>
      </c>
      <c r="D202" s="536">
        <f>D203+D204</f>
        <v>202040</v>
      </c>
      <c r="F202" s="621">
        <f>F203+F204</f>
        <v>230100</v>
      </c>
      <c r="G202" s="628">
        <f>G203+G204</f>
        <v>0</v>
      </c>
      <c r="H202" s="628">
        <f>H203+H204</f>
        <v>0</v>
      </c>
      <c r="I202" s="689">
        <f t="shared" si="10"/>
        <v>0</v>
      </c>
    </row>
    <row r="203" spans="1:9" ht="12.75" customHeight="1">
      <c r="A203" s="166"/>
      <c r="B203" s="167" t="s">
        <v>83</v>
      </c>
      <c r="C203" s="387">
        <v>90100</v>
      </c>
      <c r="D203" s="536">
        <v>80600</v>
      </c>
      <c r="F203" s="621">
        <v>90100</v>
      </c>
      <c r="G203" s="628"/>
      <c r="H203" s="628"/>
      <c r="I203" s="689">
        <f t="shared" si="10"/>
        <v>0</v>
      </c>
    </row>
    <row r="204" spans="1:9" ht="12.75" customHeight="1">
      <c r="A204" s="166"/>
      <c r="B204" s="167" t="s">
        <v>81</v>
      </c>
      <c r="C204" s="387">
        <v>140000</v>
      </c>
      <c r="D204" s="536">
        <v>121440</v>
      </c>
      <c r="F204" s="621">
        <v>140000</v>
      </c>
      <c r="G204" s="628"/>
      <c r="H204" s="628"/>
      <c r="I204" s="689">
        <f t="shared" si="10"/>
        <v>0</v>
      </c>
    </row>
    <row r="205" spans="1:9" ht="12.75" customHeight="1">
      <c r="A205" s="166">
        <v>85295</v>
      </c>
      <c r="B205" s="167" t="s">
        <v>27</v>
      </c>
      <c r="C205" s="482">
        <f>C206</f>
        <v>559000</v>
      </c>
      <c r="D205" s="538">
        <f>D206</f>
        <v>370000</v>
      </c>
      <c r="F205" s="618">
        <f>F206</f>
        <v>559000</v>
      </c>
      <c r="G205" s="626">
        <f>G206</f>
        <v>0</v>
      </c>
      <c r="H205" s="626"/>
      <c r="I205" s="689">
        <f t="shared" si="10"/>
        <v>0</v>
      </c>
    </row>
    <row r="206" spans="1:9" ht="12.75" customHeight="1">
      <c r="A206" s="301"/>
      <c r="B206" s="344" t="s">
        <v>24</v>
      </c>
      <c r="C206" s="476">
        <f>379000+150000+30000</f>
        <v>559000</v>
      </c>
      <c r="D206" s="537">
        <f>200000+30000+140000</f>
        <v>370000</v>
      </c>
      <c r="F206" s="619">
        <f>379000+150000+30000</f>
        <v>559000</v>
      </c>
      <c r="G206" s="641"/>
      <c r="H206" s="641"/>
      <c r="I206" s="689">
        <f t="shared" si="10"/>
        <v>0</v>
      </c>
    </row>
    <row r="207" spans="1:9" ht="12.75" customHeight="1">
      <c r="A207" s="461">
        <v>854</v>
      </c>
      <c r="B207" s="462" t="s">
        <v>54</v>
      </c>
      <c r="C207" s="524">
        <f>C208+C212+C214</f>
        <v>272492</v>
      </c>
      <c r="D207" s="535">
        <f>D208+D212+D214</f>
        <v>677682</v>
      </c>
      <c r="F207" s="622">
        <f>F208+F212+F214</f>
        <v>272492</v>
      </c>
      <c r="G207" s="624">
        <f>G208+G212+G214</f>
        <v>202809</v>
      </c>
      <c r="H207" s="624">
        <f>H208+H212+H214</f>
        <v>0</v>
      </c>
      <c r="I207" s="689">
        <f t="shared" si="10"/>
        <v>0</v>
      </c>
    </row>
    <row r="208" spans="1:9" ht="12.75" customHeight="1">
      <c r="A208" s="166">
        <v>85401</v>
      </c>
      <c r="B208" s="167" t="s">
        <v>55</v>
      </c>
      <c r="C208" s="482">
        <f>C209</f>
        <v>238052</v>
      </c>
      <c r="D208" s="538">
        <f>D209</f>
        <v>655302</v>
      </c>
      <c r="F208" s="618">
        <f>F209</f>
        <v>238052</v>
      </c>
      <c r="G208" s="626">
        <f>G209</f>
        <v>202809</v>
      </c>
      <c r="H208" s="626">
        <f>H209</f>
        <v>0</v>
      </c>
      <c r="I208" s="689">
        <f t="shared" si="10"/>
        <v>0</v>
      </c>
    </row>
    <row r="209" spans="1:9" ht="12.75" customHeight="1">
      <c r="A209" s="166"/>
      <c r="B209" s="167" t="s">
        <v>24</v>
      </c>
      <c r="C209" s="482">
        <f>C210+C211</f>
        <v>238052</v>
      </c>
      <c r="D209" s="538">
        <f>D210+D211</f>
        <v>655302</v>
      </c>
      <c r="F209" s="618">
        <f>F210+F211</f>
        <v>238052</v>
      </c>
      <c r="G209" s="626">
        <f>G210+G211</f>
        <v>202809</v>
      </c>
      <c r="H209" s="626">
        <f>H210+H211</f>
        <v>0</v>
      </c>
      <c r="I209" s="689">
        <f t="shared" si="10"/>
        <v>0</v>
      </c>
    </row>
    <row r="210" spans="1:9" ht="12.75" customHeight="1">
      <c r="A210" s="166"/>
      <c r="B210" s="167" t="s">
        <v>72</v>
      </c>
      <c r="C210" s="387">
        <v>202809</v>
      </c>
      <c r="D210" s="536">
        <v>540452</v>
      </c>
      <c r="F210" s="621">
        <v>202809</v>
      </c>
      <c r="G210" s="628">
        <v>202809</v>
      </c>
      <c r="H210" s="628"/>
      <c r="I210" s="689">
        <f t="shared" si="10"/>
        <v>0</v>
      </c>
    </row>
    <row r="211" spans="1:9" ht="12.75" customHeight="1">
      <c r="A211" s="166"/>
      <c r="B211" s="167" t="s">
        <v>73</v>
      </c>
      <c r="C211" s="387">
        <v>35243</v>
      </c>
      <c r="D211" s="536">
        <v>114850</v>
      </c>
      <c r="F211" s="621">
        <v>35243</v>
      </c>
      <c r="G211" s="628"/>
      <c r="H211" s="628"/>
      <c r="I211" s="689">
        <f t="shared" si="10"/>
        <v>0</v>
      </c>
    </row>
    <row r="212" spans="1:9" ht="12.75" customHeight="1">
      <c r="A212" s="166">
        <v>85415</v>
      </c>
      <c r="B212" s="167" t="s">
        <v>325</v>
      </c>
      <c r="C212" s="387">
        <f>C213</f>
        <v>33000</v>
      </c>
      <c r="D212" s="536">
        <f>D213</f>
        <v>21000</v>
      </c>
      <c r="F212" s="621">
        <f>F213</f>
        <v>33000</v>
      </c>
      <c r="G212" s="628">
        <f>G213</f>
        <v>0</v>
      </c>
      <c r="H212" s="628">
        <f>H213</f>
        <v>0</v>
      </c>
      <c r="I212" s="689">
        <f t="shared" si="10"/>
        <v>0</v>
      </c>
    </row>
    <row r="213" spans="1:9" ht="12.75" customHeight="1">
      <c r="A213" s="166"/>
      <c r="B213" s="167" t="s">
        <v>24</v>
      </c>
      <c r="C213" s="387">
        <f>25000+8000</f>
        <v>33000</v>
      </c>
      <c r="D213" s="536">
        <v>21000</v>
      </c>
      <c r="F213" s="386">
        <f>25000+8000</f>
        <v>33000</v>
      </c>
      <c r="G213" s="628"/>
      <c r="H213" s="628"/>
      <c r="I213" s="689">
        <f t="shared" si="10"/>
        <v>0</v>
      </c>
    </row>
    <row r="214" spans="1:9" ht="12.75" customHeight="1">
      <c r="A214" s="166">
        <v>85446</v>
      </c>
      <c r="B214" s="167" t="s">
        <v>89</v>
      </c>
      <c r="C214" s="387">
        <f>C215</f>
        <v>1440</v>
      </c>
      <c r="D214" s="536">
        <f>D215</f>
        <v>1380</v>
      </c>
      <c r="F214" s="621">
        <f>F215</f>
        <v>1440</v>
      </c>
      <c r="G214" s="628">
        <f>G215</f>
        <v>0</v>
      </c>
      <c r="H214" s="628">
        <f>H215</f>
        <v>0</v>
      </c>
      <c r="I214" s="689">
        <f t="shared" si="10"/>
        <v>0</v>
      </c>
    </row>
    <row r="215" spans="1:9" ht="12.75" customHeight="1">
      <c r="A215" s="166"/>
      <c r="B215" s="167" t="s">
        <v>24</v>
      </c>
      <c r="C215" s="387">
        <v>1440</v>
      </c>
      <c r="D215" s="536">
        <v>1380</v>
      </c>
      <c r="F215" s="619">
        <v>1440</v>
      </c>
      <c r="G215" s="641"/>
      <c r="H215" s="641"/>
      <c r="I215" s="689">
        <f t="shared" si="10"/>
        <v>0</v>
      </c>
    </row>
    <row r="216" spans="1:9" ht="12.75" customHeight="1">
      <c r="A216" s="461">
        <v>900</v>
      </c>
      <c r="B216" s="462" t="s">
        <v>10</v>
      </c>
      <c r="C216" s="524">
        <f>C217+C222+C226+C228+C247+C245</f>
        <v>4102824</v>
      </c>
      <c r="D216" s="535">
        <f>D217+D222+D226+D228+D247+D245</f>
        <v>1455300</v>
      </c>
      <c r="F216" s="622">
        <f>F217+F222+F226+F228+F247+F245</f>
        <v>1386520</v>
      </c>
      <c r="G216" s="624">
        <f>G217+G222+G226+G228+G247+G245</f>
        <v>49020</v>
      </c>
      <c r="H216" s="624">
        <f>H217+H222+H226+H228+H247+H245</f>
        <v>2716304</v>
      </c>
      <c r="I216" s="689">
        <f t="shared" si="10"/>
        <v>0</v>
      </c>
    </row>
    <row r="217" spans="1:9" ht="12.75" customHeight="1">
      <c r="A217" s="166">
        <v>90001</v>
      </c>
      <c r="B217" s="167" t="s">
        <v>56</v>
      </c>
      <c r="C217" s="482">
        <f>C219+C218+C220</f>
        <v>2753604</v>
      </c>
      <c r="D217" s="538">
        <f>D219+D218+D220</f>
        <v>412800</v>
      </c>
      <c r="F217" s="618">
        <f>F219+F218+F220</f>
        <v>316300</v>
      </c>
      <c r="G217" s="626">
        <f>G219+G218+G220</f>
        <v>0</v>
      </c>
      <c r="H217" s="626">
        <f>H219+H218+H220</f>
        <v>2437304</v>
      </c>
      <c r="I217" s="689">
        <f t="shared" si="10"/>
        <v>0</v>
      </c>
    </row>
    <row r="218" spans="1:9" ht="12.75" customHeight="1">
      <c r="A218" s="166"/>
      <c r="B218" s="167" t="s">
        <v>419</v>
      </c>
      <c r="C218" s="482">
        <v>281300</v>
      </c>
      <c r="D218" s="538">
        <v>188800</v>
      </c>
      <c r="F218" s="618">
        <v>281300</v>
      </c>
      <c r="G218" s="626"/>
      <c r="H218" s="626"/>
      <c r="I218" s="689">
        <f t="shared" si="10"/>
        <v>0</v>
      </c>
    </row>
    <row r="219" spans="1:9" ht="12.75" customHeight="1">
      <c r="A219" s="166"/>
      <c r="B219" s="167" t="s">
        <v>24</v>
      </c>
      <c r="C219" s="387">
        <v>35000</v>
      </c>
      <c r="D219" s="536">
        <v>24000</v>
      </c>
      <c r="F219" s="621">
        <v>35000</v>
      </c>
      <c r="G219" s="628"/>
      <c r="H219" s="628"/>
      <c r="I219" s="689">
        <f t="shared" si="10"/>
        <v>0</v>
      </c>
    </row>
    <row r="220" spans="1:9" ht="12.75" customHeight="1">
      <c r="A220" s="166"/>
      <c r="B220" s="167" t="s">
        <v>57</v>
      </c>
      <c r="C220" s="387">
        <f>C221</f>
        <v>2437304</v>
      </c>
      <c r="D220" s="536">
        <f>D221</f>
        <v>200000</v>
      </c>
      <c r="F220" s="621">
        <f>F221</f>
        <v>0</v>
      </c>
      <c r="G220" s="628">
        <f>G221</f>
        <v>0</v>
      </c>
      <c r="H220" s="628">
        <f>H221</f>
        <v>2437304</v>
      </c>
      <c r="I220" s="689">
        <f t="shared" si="10"/>
        <v>0</v>
      </c>
    </row>
    <row r="221" spans="1:9" ht="24.75" customHeight="1">
      <c r="A221" s="166"/>
      <c r="B221" s="481" t="s">
        <v>562</v>
      </c>
      <c r="C221" s="387">
        <v>2437304</v>
      </c>
      <c r="D221" s="536">
        <v>200000</v>
      </c>
      <c r="E221" s="597">
        <v>2000000</v>
      </c>
      <c r="F221" s="621"/>
      <c r="G221" s="628"/>
      <c r="H221" s="628">
        <v>2437304</v>
      </c>
      <c r="I221" s="689">
        <f t="shared" si="10"/>
        <v>0</v>
      </c>
    </row>
    <row r="222" spans="1:9" ht="12.75" customHeight="1">
      <c r="A222" s="166">
        <v>90003</v>
      </c>
      <c r="B222" s="167" t="s">
        <v>58</v>
      </c>
      <c r="C222" s="482">
        <f>C223</f>
        <v>422000</v>
      </c>
      <c r="D222" s="538">
        <f>D223</f>
        <v>400000</v>
      </c>
      <c r="F222" s="618">
        <f>F223</f>
        <v>422000</v>
      </c>
      <c r="G222" s="626">
        <f>G223</f>
        <v>2000</v>
      </c>
      <c r="H222" s="626">
        <f>H223</f>
        <v>0</v>
      </c>
      <c r="I222" s="689">
        <f t="shared" si="10"/>
        <v>0</v>
      </c>
    </row>
    <row r="223" spans="1:9" ht="12.75" customHeight="1">
      <c r="A223" s="166"/>
      <c r="B223" s="167" t="s">
        <v>24</v>
      </c>
      <c r="C223" s="482">
        <f>C224+C225</f>
        <v>422000</v>
      </c>
      <c r="D223" s="538">
        <f>D224+D225</f>
        <v>400000</v>
      </c>
      <c r="F223" s="618">
        <f>F224+F225</f>
        <v>422000</v>
      </c>
      <c r="G223" s="626">
        <f>G224+G225</f>
        <v>2000</v>
      </c>
      <c r="H223" s="626">
        <f>H224+H225</f>
        <v>0</v>
      </c>
      <c r="I223" s="689">
        <f t="shared" si="10"/>
        <v>0</v>
      </c>
    </row>
    <row r="224" spans="1:9" ht="12.75" customHeight="1">
      <c r="A224" s="166"/>
      <c r="B224" s="167" t="s">
        <v>88</v>
      </c>
      <c r="C224" s="482">
        <v>2000</v>
      </c>
      <c r="D224" s="538">
        <v>2000</v>
      </c>
      <c r="F224" s="618">
        <v>2000</v>
      </c>
      <c r="G224" s="626">
        <v>2000</v>
      </c>
      <c r="H224" s="626"/>
      <c r="I224" s="689">
        <f t="shared" si="10"/>
        <v>0</v>
      </c>
    </row>
    <row r="225" spans="1:9" ht="12.75" customHeight="1">
      <c r="A225" s="166"/>
      <c r="B225" s="167" t="s">
        <v>90</v>
      </c>
      <c r="C225" s="387">
        <v>420000</v>
      </c>
      <c r="D225" s="536">
        <v>398000</v>
      </c>
      <c r="F225" s="621">
        <v>420000</v>
      </c>
      <c r="G225" s="628"/>
      <c r="H225" s="628"/>
      <c r="I225" s="689">
        <f t="shared" si="10"/>
        <v>0</v>
      </c>
    </row>
    <row r="226" spans="1:9" ht="12.75" customHeight="1">
      <c r="A226" s="166">
        <v>90004</v>
      </c>
      <c r="B226" s="167" t="s">
        <v>59</v>
      </c>
      <c r="C226" s="482">
        <f>C227</f>
        <v>63000</v>
      </c>
      <c r="D226" s="538">
        <f>D227</f>
        <v>70000</v>
      </c>
      <c r="F226" s="618">
        <f>F227</f>
        <v>63000</v>
      </c>
      <c r="G226" s="626">
        <f>G227</f>
        <v>0</v>
      </c>
      <c r="H226" s="626">
        <f>H227</f>
        <v>0</v>
      </c>
      <c r="I226" s="689">
        <f t="shared" si="10"/>
        <v>0</v>
      </c>
    </row>
    <row r="227" spans="1:9" ht="12.75" customHeight="1">
      <c r="A227" s="166"/>
      <c r="B227" s="167" t="s">
        <v>24</v>
      </c>
      <c r="C227" s="387">
        <f>45000+18000</f>
        <v>63000</v>
      </c>
      <c r="D227" s="536">
        <f>40000+30000</f>
        <v>70000</v>
      </c>
      <c r="F227" s="621">
        <v>63000</v>
      </c>
      <c r="G227" s="628"/>
      <c r="H227" s="628"/>
      <c r="I227" s="689">
        <f t="shared" si="10"/>
        <v>0</v>
      </c>
    </row>
    <row r="228" spans="1:9" ht="12.75" customHeight="1">
      <c r="A228" s="166">
        <v>90015</v>
      </c>
      <c r="B228" s="167" t="s">
        <v>60</v>
      </c>
      <c r="C228" s="482">
        <f>C229+C230</f>
        <v>727000</v>
      </c>
      <c r="D228" s="538">
        <f>D229+D230</f>
        <v>410000</v>
      </c>
      <c r="F228" s="618">
        <f>F229+F230</f>
        <v>500000</v>
      </c>
      <c r="G228" s="626">
        <f>G229+G230</f>
        <v>0</v>
      </c>
      <c r="H228" s="626">
        <f>H229+H230</f>
        <v>227000</v>
      </c>
      <c r="I228" s="689">
        <f t="shared" si="10"/>
        <v>0</v>
      </c>
    </row>
    <row r="229" spans="1:9" ht="12.75" customHeight="1">
      <c r="A229" s="166"/>
      <c r="B229" s="167" t="s">
        <v>24</v>
      </c>
      <c r="C229" s="387">
        <v>500000</v>
      </c>
      <c r="D229" s="536">
        <v>410000</v>
      </c>
      <c r="F229" s="621">
        <v>500000</v>
      </c>
      <c r="G229" s="628"/>
      <c r="H229" s="628"/>
      <c r="I229" s="689">
        <f t="shared" si="10"/>
        <v>0</v>
      </c>
    </row>
    <row r="230" spans="1:9" ht="12.75" customHeight="1">
      <c r="A230" s="166"/>
      <c r="B230" s="167" t="s">
        <v>57</v>
      </c>
      <c r="C230" s="387">
        <f>SUM(C231:C244)</f>
        <v>227000</v>
      </c>
      <c r="D230" s="536"/>
      <c r="F230" s="621">
        <f>SUM(F231:F244)</f>
        <v>0</v>
      </c>
      <c r="G230" s="628">
        <f>SUM(G231:G244)</f>
        <v>0</v>
      </c>
      <c r="H230" s="628">
        <f>SUM(H231:H244)</f>
        <v>227000</v>
      </c>
      <c r="I230" s="689">
        <f t="shared" si="10"/>
        <v>0</v>
      </c>
    </row>
    <row r="231" spans="1:9" ht="12.75" customHeight="1">
      <c r="A231" s="166"/>
      <c r="B231" s="167" t="s">
        <v>546</v>
      </c>
      <c r="C231" s="387">
        <v>20000</v>
      </c>
      <c r="D231" s="536"/>
      <c r="F231" s="621"/>
      <c r="G231" s="628"/>
      <c r="H231" s="628">
        <v>20000</v>
      </c>
      <c r="I231" s="689">
        <f t="shared" si="10"/>
        <v>0</v>
      </c>
    </row>
    <row r="232" spans="1:9" ht="12.75" customHeight="1">
      <c r="A232" s="166"/>
      <c r="B232" s="167" t="s">
        <v>547</v>
      </c>
      <c r="C232" s="387">
        <v>20000</v>
      </c>
      <c r="D232" s="536"/>
      <c r="F232" s="621"/>
      <c r="G232" s="628"/>
      <c r="H232" s="628">
        <v>20000</v>
      </c>
      <c r="I232" s="689">
        <f t="shared" si="10"/>
        <v>0</v>
      </c>
    </row>
    <row r="233" spans="1:9" ht="12.75" customHeight="1">
      <c r="A233" s="166"/>
      <c r="B233" s="167" t="s">
        <v>548</v>
      </c>
      <c r="C233" s="387">
        <v>10000</v>
      </c>
      <c r="D233" s="536"/>
      <c r="F233" s="621"/>
      <c r="G233" s="628"/>
      <c r="H233" s="628">
        <v>10000</v>
      </c>
      <c r="I233" s="689">
        <f t="shared" si="10"/>
        <v>0</v>
      </c>
    </row>
    <row r="234" spans="1:9" ht="12.75" customHeight="1">
      <c r="A234" s="166"/>
      <c r="B234" s="167" t="s">
        <v>549</v>
      </c>
      <c r="C234" s="387">
        <v>10000</v>
      </c>
      <c r="D234" s="536"/>
      <c r="F234" s="621"/>
      <c r="G234" s="628"/>
      <c r="H234" s="628">
        <v>10000</v>
      </c>
      <c r="I234" s="689">
        <f t="shared" si="10"/>
        <v>0</v>
      </c>
    </row>
    <row r="235" spans="1:9" ht="12.75" customHeight="1">
      <c r="A235" s="166"/>
      <c r="B235" s="167" t="s">
        <v>550</v>
      </c>
      <c r="C235" s="387">
        <v>15000</v>
      </c>
      <c r="D235" s="536"/>
      <c r="F235" s="621"/>
      <c r="G235" s="628"/>
      <c r="H235" s="628">
        <v>15000</v>
      </c>
      <c r="I235" s="689">
        <f t="shared" si="10"/>
        <v>0</v>
      </c>
    </row>
    <row r="236" spans="1:9" ht="12.75" customHeight="1">
      <c r="A236" s="166"/>
      <c r="B236" s="167" t="s">
        <v>557</v>
      </c>
      <c r="C236" s="387">
        <v>15000</v>
      </c>
      <c r="D236" s="536"/>
      <c r="F236" s="621"/>
      <c r="G236" s="628"/>
      <c r="H236" s="628">
        <v>15000</v>
      </c>
      <c r="I236" s="689">
        <f t="shared" si="10"/>
        <v>0</v>
      </c>
    </row>
    <row r="237" spans="1:9" ht="12.75" customHeight="1">
      <c r="A237" s="301"/>
      <c r="B237" s="344" t="s">
        <v>558</v>
      </c>
      <c r="C237" s="476">
        <v>11000</v>
      </c>
      <c r="D237" s="536"/>
      <c r="F237" s="621"/>
      <c r="G237" s="628"/>
      <c r="H237" s="628">
        <v>11000</v>
      </c>
      <c r="I237" s="689">
        <f t="shared" si="10"/>
        <v>0</v>
      </c>
    </row>
    <row r="238" spans="1:9" ht="12.75" customHeight="1">
      <c r="A238" s="673"/>
      <c r="B238" s="470" t="s">
        <v>559</v>
      </c>
      <c r="C238" s="674">
        <v>11000</v>
      </c>
      <c r="D238" s="536"/>
      <c r="F238" s="621"/>
      <c r="G238" s="628"/>
      <c r="H238" s="628">
        <v>11000</v>
      </c>
      <c r="I238" s="689">
        <f t="shared" si="10"/>
        <v>0</v>
      </c>
    </row>
    <row r="239" spans="1:9" ht="12.75" customHeight="1">
      <c r="A239" s="166"/>
      <c r="B239" s="167" t="s">
        <v>552</v>
      </c>
      <c r="C239" s="387">
        <v>15000</v>
      </c>
      <c r="D239" s="536"/>
      <c r="F239" s="621"/>
      <c r="G239" s="628"/>
      <c r="H239" s="628">
        <v>15000</v>
      </c>
      <c r="I239" s="689">
        <f t="shared" si="10"/>
        <v>0</v>
      </c>
    </row>
    <row r="240" spans="1:9" ht="12.75" customHeight="1">
      <c r="A240" s="166"/>
      <c r="B240" s="167" t="s">
        <v>551</v>
      </c>
      <c r="C240" s="387">
        <v>10000</v>
      </c>
      <c r="D240" s="536"/>
      <c r="F240" s="621"/>
      <c r="G240" s="628"/>
      <c r="H240" s="628">
        <v>10000</v>
      </c>
      <c r="I240" s="689">
        <f t="shared" si="10"/>
        <v>0</v>
      </c>
    </row>
    <row r="241" spans="1:9" ht="12.75" customHeight="1">
      <c r="A241" s="166"/>
      <c r="B241" s="167" t="s">
        <v>553</v>
      </c>
      <c r="C241" s="387">
        <v>20000</v>
      </c>
      <c r="D241" s="536"/>
      <c r="F241" s="621"/>
      <c r="G241" s="628"/>
      <c r="H241" s="628">
        <v>20000</v>
      </c>
      <c r="I241" s="689">
        <f t="shared" si="10"/>
        <v>0</v>
      </c>
    </row>
    <row r="242" spans="1:9" ht="12.75" customHeight="1">
      <c r="A242" s="166"/>
      <c r="B242" s="167" t="s">
        <v>554</v>
      </c>
      <c r="C242" s="387">
        <v>10000</v>
      </c>
      <c r="D242" s="536"/>
      <c r="F242" s="621"/>
      <c r="G242" s="628"/>
      <c r="H242" s="628">
        <v>10000</v>
      </c>
      <c r="I242" s="689">
        <f t="shared" si="10"/>
        <v>0</v>
      </c>
    </row>
    <row r="243" spans="1:9" ht="12.75" customHeight="1">
      <c r="A243" s="166"/>
      <c r="B243" s="167" t="s">
        <v>555</v>
      </c>
      <c r="C243" s="387">
        <v>10000</v>
      </c>
      <c r="D243" s="536"/>
      <c r="F243" s="621"/>
      <c r="G243" s="628"/>
      <c r="H243" s="628">
        <v>10000</v>
      </c>
      <c r="I243" s="689">
        <f t="shared" si="10"/>
        <v>0</v>
      </c>
    </row>
    <row r="244" spans="1:9" ht="12.75" customHeight="1">
      <c r="A244" s="166"/>
      <c r="B244" s="167" t="s">
        <v>556</v>
      </c>
      <c r="C244" s="387">
        <v>50000</v>
      </c>
      <c r="D244" s="536"/>
      <c r="F244" s="621"/>
      <c r="G244" s="628"/>
      <c r="H244" s="628">
        <v>50000</v>
      </c>
      <c r="I244" s="689">
        <f t="shared" si="10"/>
        <v>0</v>
      </c>
    </row>
    <row r="245" spans="1:9" ht="12.75" customHeight="1">
      <c r="A245" s="166">
        <v>90020</v>
      </c>
      <c r="B245" s="167" t="s">
        <v>439</v>
      </c>
      <c r="C245" s="387">
        <f>C246</f>
        <v>2200</v>
      </c>
      <c r="D245" s="536">
        <f>D246</f>
        <v>2000</v>
      </c>
      <c r="F245" s="621">
        <f>F246</f>
        <v>2200</v>
      </c>
      <c r="G245" s="628">
        <f>G246</f>
        <v>0</v>
      </c>
      <c r="H245" s="628">
        <f>H246</f>
        <v>0</v>
      </c>
      <c r="I245" s="689">
        <f t="shared" si="10"/>
        <v>0</v>
      </c>
    </row>
    <row r="246" spans="1:9" ht="12.75" customHeight="1">
      <c r="A246" s="166"/>
      <c r="B246" s="167" t="s">
        <v>24</v>
      </c>
      <c r="C246" s="387">
        <f>Dochody!D47</f>
        <v>2200</v>
      </c>
      <c r="D246" s="536">
        <v>2000</v>
      </c>
      <c r="F246" s="621">
        <v>2200</v>
      </c>
      <c r="G246" s="628"/>
      <c r="H246" s="628"/>
      <c r="I246" s="689">
        <f t="shared" si="10"/>
        <v>0</v>
      </c>
    </row>
    <row r="247" spans="1:9" ht="12.75" customHeight="1">
      <c r="A247" s="166">
        <v>90095</v>
      </c>
      <c r="B247" s="167" t="s">
        <v>27</v>
      </c>
      <c r="C247" s="482">
        <f>C248+C251</f>
        <v>135020</v>
      </c>
      <c r="D247" s="540">
        <f>D248+D251</f>
        <v>160500</v>
      </c>
      <c r="F247" s="618">
        <f>F248+F251</f>
        <v>83020</v>
      </c>
      <c r="G247" s="626">
        <f>G248+G251</f>
        <v>47020</v>
      </c>
      <c r="H247" s="626">
        <f>H248+H251</f>
        <v>52000</v>
      </c>
      <c r="I247" s="689">
        <f t="shared" si="10"/>
        <v>0</v>
      </c>
    </row>
    <row r="248" spans="1:9" ht="12.75" customHeight="1">
      <c r="A248" s="166"/>
      <c r="B248" s="167" t="s">
        <v>24</v>
      </c>
      <c r="C248" s="482">
        <f>C249+C250</f>
        <v>83020</v>
      </c>
      <c r="D248" s="538">
        <f>D249+D250</f>
        <v>90500</v>
      </c>
      <c r="F248" s="618">
        <f>F249+F250</f>
        <v>83020</v>
      </c>
      <c r="G248" s="626">
        <f>G249+G250</f>
        <v>47020</v>
      </c>
      <c r="H248" s="626">
        <f>H249+H250</f>
        <v>0</v>
      </c>
      <c r="I248" s="689">
        <f t="shared" si="10"/>
        <v>0</v>
      </c>
    </row>
    <row r="249" spans="1:9" ht="12.75" customHeight="1">
      <c r="A249" s="166"/>
      <c r="B249" s="167" t="s">
        <v>72</v>
      </c>
      <c r="C249" s="387">
        <v>47020</v>
      </c>
      <c r="D249" s="536">
        <v>60500</v>
      </c>
      <c r="F249" s="621">
        <v>47020</v>
      </c>
      <c r="G249" s="628">
        <v>47020</v>
      </c>
      <c r="H249" s="628"/>
      <c r="I249" s="689">
        <f t="shared" si="10"/>
        <v>0</v>
      </c>
    </row>
    <row r="250" spans="1:9" ht="12.75" customHeight="1">
      <c r="A250" s="166"/>
      <c r="B250" s="167" t="s">
        <v>73</v>
      </c>
      <c r="C250" s="387">
        <f>40000-4000</f>
        <v>36000</v>
      </c>
      <c r="D250" s="536">
        <v>30000</v>
      </c>
      <c r="F250" s="621">
        <v>36000</v>
      </c>
      <c r="G250" s="628"/>
      <c r="H250" s="628"/>
      <c r="I250" s="689">
        <f t="shared" si="10"/>
        <v>0</v>
      </c>
    </row>
    <row r="251" spans="1:9" ht="12.75" customHeight="1">
      <c r="A251" s="166"/>
      <c r="B251" s="167" t="s">
        <v>57</v>
      </c>
      <c r="C251" s="387">
        <f>C253+C252</f>
        <v>52000</v>
      </c>
      <c r="D251" s="536">
        <f>D253</f>
        <v>70000</v>
      </c>
      <c r="F251" s="621">
        <f>F253+F252</f>
        <v>0</v>
      </c>
      <c r="G251" s="628">
        <f>G253+G252</f>
        <v>0</v>
      </c>
      <c r="H251" s="628">
        <f>H253+H252</f>
        <v>52000</v>
      </c>
      <c r="I251" s="689">
        <f t="shared" si="10"/>
        <v>0</v>
      </c>
    </row>
    <row r="252" spans="1:9" ht="27" customHeight="1">
      <c r="A252" s="166"/>
      <c r="B252" s="167" t="s">
        <v>561</v>
      </c>
      <c r="C252" s="387">
        <v>18000</v>
      </c>
      <c r="D252" s="536"/>
      <c r="F252" s="621"/>
      <c r="G252" s="628"/>
      <c r="H252" s="628">
        <v>18000</v>
      </c>
      <c r="I252" s="689">
        <f t="shared" si="10"/>
        <v>0</v>
      </c>
    </row>
    <row r="253" spans="1:9" ht="12.75" customHeight="1">
      <c r="A253" s="301"/>
      <c r="B253" s="344" t="s">
        <v>237</v>
      </c>
      <c r="C253" s="476">
        <f>30000+4000</f>
        <v>34000</v>
      </c>
      <c r="D253" s="537">
        <f>30000+40000</f>
        <v>70000</v>
      </c>
      <c r="F253" s="619"/>
      <c r="G253" s="641"/>
      <c r="H253" s="641">
        <v>34000</v>
      </c>
      <c r="I253" s="689">
        <f t="shared" si="10"/>
        <v>0</v>
      </c>
    </row>
    <row r="254" spans="1:9" s="90" customFormat="1" ht="12.75" customHeight="1">
      <c r="A254" s="483">
        <v>921</v>
      </c>
      <c r="B254" s="471" t="s">
        <v>11</v>
      </c>
      <c r="C254" s="523">
        <f>C255+C259+C263+C261</f>
        <v>1794290</v>
      </c>
      <c r="D254" s="534">
        <f>D255+D259+D263</f>
        <v>1163000</v>
      </c>
      <c r="E254" s="596"/>
      <c r="F254" s="622">
        <f>F255+F259+F263+F261</f>
        <v>1345290</v>
      </c>
      <c r="G254" s="622">
        <f>G255+G259+G263+G261</f>
        <v>0</v>
      </c>
      <c r="H254" s="622">
        <f>H255+H259+H263+H261</f>
        <v>449000</v>
      </c>
      <c r="I254" s="689">
        <f t="shared" si="10"/>
        <v>0</v>
      </c>
    </row>
    <row r="255" spans="1:9" ht="12.75" customHeight="1">
      <c r="A255" s="465">
        <v>92109</v>
      </c>
      <c r="B255" s="408" t="s">
        <v>61</v>
      </c>
      <c r="C255" s="498">
        <f>C256+C258</f>
        <v>1080300</v>
      </c>
      <c r="D255" s="530">
        <f>D256</f>
        <v>510000</v>
      </c>
      <c r="F255" s="618">
        <f>F256+F258</f>
        <v>631300</v>
      </c>
      <c r="G255" s="618">
        <f>G256+G258</f>
        <v>0</v>
      </c>
      <c r="H255" s="618">
        <f>H256+H258</f>
        <v>449000</v>
      </c>
      <c r="I255" s="689">
        <f t="shared" si="10"/>
        <v>0</v>
      </c>
    </row>
    <row r="256" spans="1:9" ht="12.75" customHeight="1">
      <c r="A256" s="465"/>
      <c r="B256" s="408" t="s">
        <v>424</v>
      </c>
      <c r="C256" s="386">
        <f>510000*3%+45000+40000+510000+10000+11000</f>
        <v>631300</v>
      </c>
      <c r="D256" s="533">
        <v>510000</v>
      </c>
      <c r="F256" s="621">
        <f>510000*3%+45000+40000+510000+10000+11000</f>
        <v>631300</v>
      </c>
      <c r="G256" s="621"/>
      <c r="H256" s="621"/>
      <c r="I256" s="689">
        <f t="shared" si="10"/>
        <v>0</v>
      </c>
    </row>
    <row r="257" spans="1:9" ht="12.75" customHeight="1">
      <c r="A257" s="465"/>
      <c r="B257" s="167" t="s">
        <v>57</v>
      </c>
      <c r="C257" s="386">
        <f>C258</f>
        <v>449000</v>
      </c>
      <c r="D257" s="533"/>
      <c r="F257" s="621">
        <f>F258</f>
        <v>0</v>
      </c>
      <c r="G257" s="621">
        <f>G258</f>
        <v>0</v>
      </c>
      <c r="H257" s="621">
        <f>H258</f>
        <v>449000</v>
      </c>
      <c r="I257" s="689">
        <f t="shared" si="10"/>
        <v>0</v>
      </c>
    </row>
    <row r="258" spans="1:9" ht="12.75" customHeight="1">
      <c r="A258" s="465"/>
      <c r="B258" s="408" t="s">
        <v>565</v>
      </c>
      <c r="C258" s="386">
        <f>149000+300000</f>
        <v>449000</v>
      </c>
      <c r="D258" s="533"/>
      <c r="E258" s="597">
        <f>C258</f>
        <v>449000</v>
      </c>
      <c r="F258" s="621"/>
      <c r="G258" s="621"/>
      <c r="H258" s="621">
        <f>149000+300000</f>
        <v>449000</v>
      </c>
      <c r="I258" s="689">
        <f t="shared" si="10"/>
        <v>0</v>
      </c>
    </row>
    <row r="259" spans="1:9" ht="12.75" customHeight="1">
      <c r="A259" s="465">
        <v>92116</v>
      </c>
      <c r="B259" s="408" t="s">
        <v>62</v>
      </c>
      <c r="C259" s="498">
        <f>C260</f>
        <v>608990</v>
      </c>
      <c r="D259" s="530">
        <f>D260</f>
        <v>583000</v>
      </c>
      <c r="F259" s="618">
        <f>F260</f>
        <v>608990</v>
      </c>
      <c r="G259" s="618">
        <f>G260</f>
        <v>0</v>
      </c>
      <c r="H259" s="618">
        <f>H260</f>
        <v>0</v>
      </c>
      <c r="I259" s="689">
        <f t="shared" si="10"/>
        <v>0</v>
      </c>
    </row>
    <row r="260" spans="1:9" ht="12.75" customHeight="1">
      <c r="A260" s="465"/>
      <c r="B260" s="408" t="s">
        <v>424</v>
      </c>
      <c r="C260" s="386">
        <f>583000*3%+583000+8500</f>
        <v>608990</v>
      </c>
      <c r="D260" s="533">
        <f>573000+10000</f>
        <v>583000</v>
      </c>
      <c r="F260" s="621">
        <f>583000*3%+583000+8500</f>
        <v>608990</v>
      </c>
      <c r="G260" s="621"/>
      <c r="H260" s="621"/>
      <c r="I260" s="689">
        <f t="shared" si="10"/>
        <v>0</v>
      </c>
    </row>
    <row r="261" spans="1:9" ht="12.75" customHeight="1">
      <c r="A261" s="465">
        <v>92120</v>
      </c>
      <c r="B261" s="408" t="s">
        <v>585</v>
      </c>
      <c r="C261" s="386">
        <f>C262</f>
        <v>35000</v>
      </c>
      <c r="D261" s="533"/>
      <c r="F261" s="621">
        <f>F262</f>
        <v>35000</v>
      </c>
      <c r="G261" s="621">
        <f>G262</f>
        <v>0</v>
      </c>
      <c r="H261" s="621">
        <f>H262</f>
        <v>0</v>
      </c>
      <c r="I261" s="689">
        <f t="shared" si="10"/>
        <v>0</v>
      </c>
    </row>
    <row r="262" spans="1:9" ht="12.75" customHeight="1">
      <c r="A262" s="465"/>
      <c r="B262" s="408" t="s">
        <v>422</v>
      </c>
      <c r="C262" s="386">
        <v>35000</v>
      </c>
      <c r="D262" s="533"/>
      <c r="F262" s="621">
        <v>35000</v>
      </c>
      <c r="G262" s="621"/>
      <c r="H262" s="621"/>
      <c r="I262" s="689">
        <f t="shared" si="10"/>
        <v>0</v>
      </c>
    </row>
    <row r="263" spans="1:9" ht="12.75" customHeight="1">
      <c r="A263" s="465">
        <v>92195</v>
      </c>
      <c r="B263" s="408" t="s">
        <v>27</v>
      </c>
      <c r="C263" s="498">
        <f>C264</f>
        <v>70000</v>
      </c>
      <c r="D263" s="530">
        <f>D264</f>
        <v>70000</v>
      </c>
      <c r="F263" s="618">
        <f>F264</f>
        <v>70000</v>
      </c>
      <c r="G263" s="618">
        <f>G264</f>
        <v>0</v>
      </c>
      <c r="H263" s="618">
        <f>H264</f>
        <v>0</v>
      </c>
      <c r="I263" s="689">
        <f aca="true" t="shared" si="11" ref="I263:I273">C263-F263-H263</f>
        <v>0</v>
      </c>
    </row>
    <row r="264" spans="1:9" ht="12.75" customHeight="1">
      <c r="A264" s="472"/>
      <c r="B264" s="408" t="s">
        <v>419</v>
      </c>
      <c r="C264" s="455">
        <v>70000</v>
      </c>
      <c r="D264" s="531">
        <v>70000</v>
      </c>
      <c r="F264" s="619">
        <v>70000</v>
      </c>
      <c r="G264" s="619"/>
      <c r="H264" s="619"/>
      <c r="I264" s="689">
        <f t="shared" si="11"/>
        <v>0</v>
      </c>
    </row>
    <row r="265" spans="1:9" s="90" customFormat="1" ht="12.75" customHeight="1">
      <c r="A265" s="461">
        <v>926</v>
      </c>
      <c r="B265" s="462" t="s">
        <v>63</v>
      </c>
      <c r="C265" s="524">
        <f>C266</f>
        <v>4578802</v>
      </c>
      <c r="D265" s="535">
        <f>D266</f>
        <v>180000</v>
      </c>
      <c r="E265" s="596"/>
      <c r="F265" s="622">
        <f>F266</f>
        <v>195000</v>
      </c>
      <c r="G265" s="624">
        <f>G266</f>
        <v>55000</v>
      </c>
      <c r="H265" s="624">
        <f>H266</f>
        <v>4383802</v>
      </c>
      <c r="I265" s="689">
        <f t="shared" si="11"/>
        <v>0</v>
      </c>
    </row>
    <row r="266" spans="1:9" ht="12.75" customHeight="1">
      <c r="A266" s="166">
        <v>92605</v>
      </c>
      <c r="B266" s="167" t="s">
        <v>144</v>
      </c>
      <c r="C266" s="482">
        <f>C267+C270</f>
        <v>4578802</v>
      </c>
      <c r="D266" s="538">
        <f>D267</f>
        <v>180000</v>
      </c>
      <c r="F266" s="618">
        <f>F267+F270</f>
        <v>195000</v>
      </c>
      <c r="G266" s="626">
        <f>G267+G270</f>
        <v>55000</v>
      </c>
      <c r="H266" s="626">
        <f>H267+H270</f>
        <v>4383802</v>
      </c>
      <c r="I266" s="689">
        <f t="shared" si="11"/>
        <v>0</v>
      </c>
    </row>
    <row r="267" spans="1:9" ht="12.75" customHeight="1">
      <c r="A267" s="166"/>
      <c r="B267" s="167" t="s">
        <v>65</v>
      </c>
      <c r="C267" s="482">
        <f>C268+C269</f>
        <v>195000</v>
      </c>
      <c r="D267" s="538">
        <f>D268+D272</f>
        <v>180000</v>
      </c>
      <c r="F267" s="618">
        <f>F268+F269</f>
        <v>195000</v>
      </c>
      <c r="G267" s="626">
        <f>G268+G269</f>
        <v>55000</v>
      </c>
      <c r="H267" s="626">
        <f>H268+H269</f>
        <v>0</v>
      </c>
      <c r="I267" s="689">
        <f t="shared" si="11"/>
        <v>0</v>
      </c>
    </row>
    <row r="268" spans="1:9" ht="12.75" customHeight="1">
      <c r="A268" s="166"/>
      <c r="B268" s="167" t="s">
        <v>425</v>
      </c>
      <c r="C268" s="387">
        <f>45000+10000</f>
        <v>55000</v>
      </c>
      <c r="D268" s="536">
        <v>45000</v>
      </c>
      <c r="F268" s="621">
        <f>45000+10000</f>
        <v>55000</v>
      </c>
      <c r="G268" s="628">
        <f>45000+10000</f>
        <v>55000</v>
      </c>
      <c r="H268" s="628"/>
      <c r="I268" s="689">
        <f t="shared" si="11"/>
        <v>0</v>
      </c>
    </row>
    <row r="269" spans="1:9" ht="12.75" customHeight="1">
      <c r="A269" s="166"/>
      <c r="B269" s="167" t="s">
        <v>73</v>
      </c>
      <c r="C269" s="387">
        <v>140000</v>
      </c>
      <c r="D269" s="536"/>
      <c r="F269" s="621">
        <v>140000</v>
      </c>
      <c r="G269" s="628"/>
      <c r="H269" s="628"/>
      <c r="I269" s="689">
        <f t="shared" si="11"/>
        <v>0</v>
      </c>
    </row>
    <row r="270" spans="1:9" ht="12.75" customHeight="1">
      <c r="A270" s="166"/>
      <c r="B270" s="167" t="s">
        <v>57</v>
      </c>
      <c r="C270" s="387">
        <f>C271+C272</f>
        <v>4383802</v>
      </c>
      <c r="D270" s="536"/>
      <c r="F270" s="621">
        <f>F271+F272</f>
        <v>0</v>
      </c>
      <c r="G270" s="628">
        <f>G271+G272</f>
        <v>0</v>
      </c>
      <c r="H270" s="628">
        <f>H271+H272</f>
        <v>4383802</v>
      </c>
      <c r="I270" s="689">
        <f t="shared" si="11"/>
        <v>0</v>
      </c>
    </row>
    <row r="271" spans="1:9" ht="26.25" customHeight="1">
      <c r="A271" s="166"/>
      <c r="B271" s="167" t="s">
        <v>560</v>
      </c>
      <c r="C271" s="387">
        <f>1989824+893978</f>
        <v>2883802</v>
      </c>
      <c r="D271" s="536"/>
      <c r="E271" s="597">
        <f>C271</f>
        <v>2883802</v>
      </c>
      <c r="F271" s="621"/>
      <c r="G271" s="628"/>
      <c r="H271" s="628">
        <f>1989824+893978</f>
        <v>2883802</v>
      </c>
      <c r="I271" s="689">
        <f t="shared" si="11"/>
        <v>0</v>
      </c>
    </row>
    <row r="272" spans="1:9" ht="26.25" customHeight="1">
      <c r="A272" s="166"/>
      <c r="B272" s="167" t="s">
        <v>584</v>
      </c>
      <c r="C272" s="387">
        <v>1500000</v>
      </c>
      <c r="D272" s="536">
        <f>125000+10000</f>
        <v>135000</v>
      </c>
      <c r="E272" s="597"/>
      <c r="F272" s="619"/>
      <c r="G272" s="641"/>
      <c r="H272" s="641">
        <v>1500000</v>
      </c>
      <c r="I272" s="689">
        <f t="shared" si="11"/>
        <v>0</v>
      </c>
    </row>
    <row r="273" spans="1:9" ht="12.75" customHeight="1">
      <c r="A273" s="245"/>
      <c r="B273" s="246" t="s">
        <v>12</v>
      </c>
      <c r="C273" s="520">
        <f>C5+C9+C13+C23+C28+C56+C65+C78+C85+C104+C109+C121+C125+C128+C170+C178+C207+C216+C254+C265+C116</f>
        <v>52202013.34</v>
      </c>
      <c r="D273" s="541">
        <f>D5+D9+D13+D23+D28+D56+D65+D78+D85+D104+D109+D121+D125+D128+D170+D178+D207+D216+D254+D265+D116</f>
        <v>36546271.88</v>
      </c>
      <c r="E273" s="597">
        <f>SUM(E1:E272)</f>
        <v>6224489</v>
      </c>
      <c r="F273" s="647">
        <f>F5+F9+F13+F23+F28+F56+F65+F78+F85+F104+F109+F121+F125+F128+F170+F178+F207+F216+F254+F265+F116</f>
        <v>36011331.34</v>
      </c>
      <c r="G273" s="647">
        <f>G5+G9+G13+G23+G28+G56+G65+G78+G85+G104+G109+G121+G125+G128+G170+G178+G207+G216+G254+G265+G116</f>
        <v>15934739</v>
      </c>
      <c r="H273" s="647">
        <f>H5+H9+H13+H23+H28+H56+H65+H78+H85+H104+H109+H121+H125+H128+H170+H178+H207+H216+H254+H265+H116</f>
        <v>16175682</v>
      </c>
      <c r="I273" s="689">
        <f t="shared" si="11"/>
        <v>15000</v>
      </c>
    </row>
    <row r="274" spans="6:8" ht="12" customHeight="1">
      <c r="F274" s="588">
        <f>C273-H273</f>
        <v>36026331.34</v>
      </c>
      <c r="H274" s="588">
        <f>Inwestycje!C107</f>
        <v>16179682</v>
      </c>
    </row>
    <row r="275" spans="2:8" ht="12" customHeight="1" hidden="1">
      <c r="B275" s="587"/>
      <c r="C275" s="588">
        <f>Dochody!D63-Wydatki!C273</f>
        <v>-16436420.4</v>
      </c>
      <c r="E275" s="597">
        <f>E273+C275</f>
        <v>-10211931.4</v>
      </c>
      <c r="F275" s="612">
        <f>F273-F274</f>
        <v>-15000</v>
      </c>
      <c r="G275" s="612"/>
      <c r="H275" s="612">
        <f>H273-H274</f>
        <v>-4000</v>
      </c>
    </row>
    <row r="276" spans="2:8" ht="12" customHeight="1" hidden="1">
      <c r="B276" s="589" t="s">
        <v>405</v>
      </c>
      <c r="C276" s="588">
        <f>Dochody!D63-Wydatki!C273</f>
        <v>-16436420.4</v>
      </c>
      <c r="F276" s="592">
        <f>F273</f>
        <v>36011331.34</v>
      </c>
      <c r="G276" s="612" t="s">
        <v>594</v>
      </c>
      <c r="H276" s="612"/>
    </row>
    <row r="277" spans="2:8" ht="12" customHeight="1" hidden="1">
      <c r="B277" s="589" t="s">
        <v>461</v>
      </c>
      <c r="C277" s="588">
        <f>-Przychody!C5</f>
        <v>-1291206.48</v>
      </c>
      <c r="F277" s="592">
        <f>-G273</f>
        <v>-15934739</v>
      </c>
      <c r="G277" s="612" t="s">
        <v>595</v>
      </c>
      <c r="H277" s="612"/>
    </row>
    <row r="278" spans="2:8" ht="12" customHeight="1" hidden="1">
      <c r="B278" s="589" t="s">
        <v>462</v>
      </c>
      <c r="C278" s="590">
        <f>C276+C277</f>
        <v>-17727626.88</v>
      </c>
      <c r="D278" s="527"/>
      <c r="F278" s="592">
        <f>-H273</f>
        <v>-16175682</v>
      </c>
      <c r="G278" s="612" t="s">
        <v>593</v>
      </c>
      <c r="H278" s="612"/>
    </row>
    <row r="279" spans="2:8" ht="12" customHeight="1" hidden="1">
      <c r="B279" s="589" t="s">
        <v>467</v>
      </c>
      <c r="C279" s="588">
        <f>C273-C277</f>
        <v>53493219.82</v>
      </c>
      <c r="D279" s="543"/>
      <c r="F279" s="592">
        <f>-F123</f>
        <v>-420000</v>
      </c>
      <c r="G279" s="612" t="s">
        <v>596</v>
      </c>
      <c r="H279" s="612"/>
    </row>
    <row r="280" spans="2:8" ht="12" customHeight="1" hidden="1">
      <c r="B280" s="587"/>
      <c r="C280" s="588"/>
      <c r="D280" s="543"/>
      <c r="F280" s="613">
        <f>SUM(F276:F279)</f>
        <v>3480910.34</v>
      </c>
      <c r="G280" s="612"/>
      <c r="H280" s="612"/>
    </row>
    <row r="281" spans="2:8" ht="12" customHeight="1" hidden="1">
      <c r="B281" s="587"/>
      <c r="C281" s="588"/>
      <c r="D281" s="543"/>
      <c r="F281" s="612">
        <v>15000</v>
      </c>
      <c r="G281" s="612"/>
      <c r="H281" s="612"/>
    </row>
    <row r="282" spans="2:8" ht="12" customHeight="1" hidden="1">
      <c r="B282" s="585"/>
      <c r="C282" s="588" t="s">
        <v>118</v>
      </c>
      <c r="D282" s="544"/>
      <c r="F282" s="648">
        <f>F281/F280%</f>
        <v>0.4</v>
      </c>
      <c r="G282" s="612"/>
      <c r="H282" s="612"/>
    </row>
    <row r="283" spans="2:8" ht="12" customHeight="1" hidden="1">
      <c r="B283" s="591" t="s">
        <v>456</v>
      </c>
      <c r="C283" s="592">
        <f>G273</f>
        <v>15934739</v>
      </c>
      <c r="D283" s="686">
        <f>C283/52202013.341%</f>
        <v>30.5</v>
      </c>
      <c r="F283" s="612"/>
      <c r="G283" s="612"/>
      <c r="H283" s="612"/>
    </row>
    <row r="284" spans="2:8" ht="12" customHeight="1" hidden="1">
      <c r="B284" s="591" t="s">
        <v>24</v>
      </c>
      <c r="C284" s="592">
        <f>F273-C283-135000+15000-420000</f>
        <v>19536592.34</v>
      </c>
      <c r="D284" s="686">
        <f>C284/52202013.341%</f>
        <v>37.4</v>
      </c>
      <c r="F284" s="612"/>
      <c r="G284" s="612"/>
      <c r="H284" s="612"/>
    </row>
    <row r="285" spans="2:8" ht="12" customHeight="1" hidden="1">
      <c r="B285" s="591" t="s">
        <v>457</v>
      </c>
      <c r="C285" s="592">
        <f>C124</f>
        <v>135000</v>
      </c>
      <c r="D285" s="686">
        <f>C285/52202013.341%</f>
        <v>0.3</v>
      </c>
      <c r="F285" s="612"/>
      <c r="G285" s="612"/>
      <c r="H285" s="612"/>
    </row>
    <row r="286" spans="2:8" ht="12" customHeight="1" hidden="1">
      <c r="B286" s="591" t="s">
        <v>466</v>
      </c>
      <c r="C286" s="592">
        <f>C121</f>
        <v>420000</v>
      </c>
      <c r="D286" s="686">
        <f>C286/52202013.341%</f>
        <v>0.8</v>
      </c>
      <c r="F286" s="612"/>
      <c r="G286" s="612"/>
      <c r="H286" s="612"/>
    </row>
    <row r="287" spans="2:8" ht="12" customHeight="1" hidden="1">
      <c r="B287" s="591" t="s">
        <v>57</v>
      </c>
      <c r="C287" s="592">
        <f>C15+C19+C30+C34+C62+C70+C96+C133+C145+C168+C220+C230+C251+C257+C270</f>
        <v>16175682</v>
      </c>
      <c r="D287" s="686">
        <f>C287/52202013.341%</f>
        <v>31</v>
      </c>
      <c r="F287" s="612"/>
      <c r="G287" s="612"/>
      <c r="H287" s="612"/>
    </row>
    <row r="288" spans="2:8" ht="12" customHeight="1" hidden="1">
      <c r="B288" s="593"/>
      <c r="C288" s="588">
        <f>SUM(C283:C287)</f>
        <v>52202013.34</v>
      </c>
      <c r="D288" s="685">
        <f>SUM(D283:D287)</f>
        <v>100</v>
      </c>
      <c r="F288" s="612"/>
      <c r="G288" s="612"/>
      <c r="H288" s="612"/>
    </row>
    <row r="289" spans="2:3" ht="12" customHeight="1" hidden="1">
      <c r="B289" s="587"/>
      <c r="C289" s="588"/>
    </row>
    <row r="290" ht="12" customHeight="1" hidden="1">
      <c r="E290" s="597"/>
    </row>
    <row r="291" spans="2:3" ht="12" customHeight="1" hidden="1">
      <c r="B291" s="68" t="str">
        <f>B128</f>
        <v>Oświata i wychowanie</v>
      </c>
      <c r="C291" s="666">
        <f>C128</f>
        <v>20035411</v>
      </c>
    </row>
    <row r="292" spans="2:3" ht="12" customHeight="1" hidden="1">
      <c r="B292" s="68" t="str">
        <f>B207</f>
        <v>Edukacyjna opieka wychowawcza</v>
      </c>
      <c r="C292" s="666">
        <f>C207</f>
        <v>272492</v>
      </c>
    </row>
    <row r="293" ht="12" customHeight="1" hidden="1">
      <c r="C293" s="650">
        <f>SUM(C291:C292)</f>
        <v>20307903</v>
      </c>
    </row>
    <row r="294" ht="12" customHeight="1" hidden="1">
      <c r="C294" s="650">
        <f>C293/C273%</f>
        <v>39</v>
      </c>
    </row>
    <row r="295" ht="12" customHeight="1" hidden="1">
      <c r="C295" s="650"/>
    </row>
    <row r="296" spans="2:8" ht="12" customHeight="1" hidden="1">
      <c r="B296" s="68" t="str">
        <f>B178</f>
        <v>Pomoc społeczna</v>
      </c>
      <c r="C296" s="666">
        <f>C178</f>
        <v>9313012</v>
      </c>
      <c r="D296" s="527"/>
      <c r="F296" s="590"/>
      <c r="G296" s="590"/>
      <c r="H296" s="590"/>
    </row>
    <row r="297" ht="12" customHeight="1" hidden="1">
      <c r="C297" s="650">
        <f>C296/C273%</f>
        <v>18</v>
      </c>
    </row>
    <row r="298" ht="12" customHeight="1" hidden="1">
      <c r="C298" s="665"/>
    </row>
    <row r="299" ht="12" customHeight="1">
      <c r="C299" s="665"/>
    </row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</sheetData>
  <mergeCells count="2">
    <mergeCell ref="A1:B1"/>
    <mergeCell ref="A2:B2"/>
  </mergeCells>
  <printOptions/>
  <pageMargins left="0.53" right="0.1968503937007874" top="0.4330708661417323" bottom="0.4" header="0.2362204724409449" footer="0.2362204724409449"/>
  <pageSetup horizontalDpi="600" verticalDpi="600" orientation="portrait" paperSize="9" r:id="rId1"/>
  <rowBreaks count="5" manualBreakCount="5">
    <brk id="55" max="2" man="1"/>
    <brk id="115" max="2" man="1"/>
    <brk id="169" max="2" man="1"/>
    <brk id="177" max="2" man="1"/>
    <brk id="237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E161"/>
  <sheetViews>
    <sheetView showGridLines="0" workbookViewId="0" topLeftCell="A118">
      <selection activeCell="D11" sqref="D11"/>
    </sheetView>
  </sheetViews>
  <sheetFormatPr defaultColWidth="9.00390625" defaultRowHeight="12.75" customHeight="1"/>
  <cols>
    <col min="1" max="1" width="9.125" style="148" customWidth="1"/>
    <col min="2" max="2" width="7.125" style="148" customWidth="1"/>
    <col min="3" max="3" width="44.625" style="148" customWidth="1"/>
    <col min="4" max="4" width="16.00390625" style="148" customWidth="1"/>
    <col min="5" max="5" width="7.625" style="148" customWidth="1"/>
    <col min="6" max="16384" width="9.125" style="148" customWidth="1"/>
  </cols>
  <sheetData>
    <row r="1" spans="2:5" ht="12.75" customHeight="1">
      <c r="B1" s="725" t="s">
        <v>157</v>
      </c>
      <c r="C1" s="725"/>
      <c r="D1" s="725"/>
      <c r="E1" s="144"/>
    </row>
    <row r="2" spans="2:5" ht="12.75" customHeight="1">
      <c r="B2" s="692" t="s">
        <v>438</v>
      </c>
      <c r="C2" s="692"/>
      <c r="D2" s="692"/>
      <c r="E2" s="144"/>
    </row>
    <row r="4" spans="2:5" s="89" customFormat="1" ht="12.75" customHeight="1">
      <c r="B4" s="233" t="s">
        <v>22</v>
      </c>
      <c r="C4" s="234" t="s">
        <v>24</v>
      </c>
      <c r="D4" s="229" t="s">
        <v>309</v>
      </c>
      <c r="E4" s="347" t="s">
        <v>436</v>
      </c>
    </row>
    <row r="5" spans="2:5" s="90" customFormat="1" ht="12.75" customHeight="1">
      <c r="B5" s="78">
        <v>801</v>
      </c>
      <c r="C5" s="29" t="s">
        <v>9</v>
      </c>
      <c r="D5" s="351" t="e">
        <f>D6+D8+D9+D10+D12+D11+D7</f>
        <v>#REF!</v>
      </c>
      <c r="E5" s="157" t="e">
        <f aca="true" t="shared" si="0" ref="E5:E28">D5/39394696.33%</f>
        <v>#REF!</v>
      </c>
    </row>
    <row r="6" spans="2:5" ht="12.75" customHeight="1">
      <c r="B6" s="73">
        <v>80101</v>
      </c>
      <c r="C6" s="32" t="s">
        <v>43</v>
      </c>
      <c r="D6" s="348" t="e">
        <f>Wydatki!#REF!-502653.8</f>
        <v>#REF!</v>
      </c>
      <c r="E6" s="147" t="e">
        <f t="shared" si="0"/>
        <v>#REF!</v>
      </c>
    </row>
    <row r="7" spans="2:5" s="90" customFormat="1" ht="12.75" customHeight="1">
      <c r="B7" s="73">
        <v>80103</v>
      </c>
      <c r="C7" s="32" t="s">
        <v>261</v>
      </c>
      <c r="D7" s="349" t="e">
        <f>Wydatki!#REF!</f>
        <v>#REF!</v>
      </c>
      <c r="E7" s="147" t="e">
        <f t="shared" si="0"/>
        <v>#REF!</v>
      </c>
    </row>
    <row r="8" spans="2:5" ht="12.75" customHeight="1">
      <c r="B8" s="73">
        <v>80104</v>
      </c>
      <c r="C8" s="32" t="s">
        <v>246</v>
      </c>
      <c r="D8" s="348" t="e">
        <f>Wydatki!#REF!</f>
        <v>#REF!</v>
      </c>
      <c r="E8" s="147" t="e">
        <f t="shared" si="0"/>
        <v>#REF!</v>
      </c>
    </row>
    <row r="9" spans="2:5" s="90" customFormat="1" ht="12.75" customHeight="1">
      <c r="B9" s="73">
        <v>80110</v>
      </c>
      <c r="C9" s="32" t="s">
        <v>44</v>
      </c>
      <c r="D9" s="348" t="e">
        <f>Wydatki!#REF!</f>
        <v>#REF!</v>
      </c>
      <c r="E9" s="147" t="e">
        <f t="shared" si="0"/>
        <v>#REF!</v>
      </c>
    </row>
    <row r="10" spans="2:5" ht="12.75" customHeight="1">
      <c r="B10" s="73">
        <v>80113</v>
      </c>
      <c r="C10" s="32" t="s">
        <v>45</v>
      </c>
      <c r="D10" s="348" t="e">
        <f>Wydatki!#REF!</f>
        <v>#REF!</v>
      </c>
      <c r="E10" s="147" t="e">
        <f t="shared" si="0"/>
        <v>#REF!</v>
      </c>
    </row>
    <row r="11" spans="2:5" ht="12.75" customHeight="1">
      <c r="B11" s="166">
        <v>80146</v>
      </c>
      <c r="C11" s="167" t="s">
        <v>89</v>
      </c>
      <c r="D11" s="350" t="e">
        <f>Wydatki!#REF!</f>
        <v>#REF!</v>
      </c>
      <c r="E11" s="147" t="e">
        <f t="shared" si="0"/>
        <v>#REF!</v>
      </c>
    </row>
    <row r="12" spans="2:5" s="90" customFormat="1" ht="12.75" customHeight="1">
      <c r="B12" s="79">
        <v>80195</v>
      </c>
      <c r="C12" s="92" t="s">
        <v>79</v>
      </c>
      <c r="D12" s="352" t="e">
        <f>Wydatki!#REF!</f>
        <v>#REF!</v>
      </c>
      <c r="E12" s="182" t="e">
        <f t="shared" si="0"/>
        <v>#REF!</v>
      </c>
    </row>
    <row r="13" spans="2:5" ht="12.75" customHeight="1">
      <c r="B13" s="78">
        <v>854</v>
      </c>
      <c r="C13" s="29" t="s">
        <v>54</v>
      </c>
      <c r="D13" s="215" t="e">
        <f>D14+D15+D16</f>
        <v>#REF!</v>
      </c>
      <c r="E13" s="157" t="e">
        <f t="shared" si="0"/>
        <v>#REF!</v>
      </c>
    </row>
    <row r="14" spans="2:5" s="90" customFormat="1" ht="12.75" customHeight="1">
      <c r="B14" s="73">
        <v>85401</v>
      </c>
      <c r="C14" s="32" t="s">
        <v>55</v>
      </c>
      <c r="D14" s="216" t="e">
        <f>Wydatki!#REF!</f>
        <v>#REF!</v>
      </c>
      <c r="E14" s="147" t="e">
        <f t="shared" si="0"/>
        <v>#REF!</v>
      </c>
    </row>
    <row r="15" spans="2:5" s="90" customFormat="1" ht="12.75" customHeight="1">
      <c r="B15" s="73">
        <v>85415</v>
      </c>
      <c r="C15" s="32" t="s">
        <v>325</v>
      </c>
      <c r="D15" s="211" t="e">
        <f>Wydatki!#REF!</f>
        <v>#REF!</v>
      </c>
      <c r="E15" s="147" t="e">
        <f t="shared" si="0"/>
        <v>#REF!</v>
      </c>
    </row>
    <row r="16" spans="2:5" ht="12.75" customHeight="1">
      <c r="B16" s="301">
        <v>85446</v>
      </c>
      <c r="C16" s="344" t="s">
        <v>89</v>
      </c>
      <c r="D16" s="346" t="e">
        <f>Wydatki!#REF!</f>
        <v>#REF!</v>
      </c>
      <c r="E16" s="182" t="e">
        <f t="shared" si="0"/>
        <v>#REF!</v>
      </c>
    </row>
    <row r="17" spans="2:5" s="90" customFormat="1" ht="12.75" customHeight="1">
      <c r="B17" s="81">
        <v>921</v>
      </c>
      <c r="C17" s="104" t="s">
        <v>11</v>
      </c>
      <c r="D17" s="199" t="e">
        <f>D18+D19+D20</f>
        <v>#REF!</v>
      </c>
      <c r="E17" s="157" t="e">
        <f t="shared" si="0"/>
        <v>#REF!</v>
      </c>
    </row>
    <row r="18" spans="2:5" ht="12.75" customHeight="1">
      <c r="B18" s="75">
        <v>92109</v>
      </c>
      <c r="C18" s="103" t="s">
        <v>61</v>
      </c>
      <c r="D18" s="214" t="e">
        <f>Wydatki!#REF!</f>
        <v>#REF!</v>
      </c>
      <c r="E18" s="147" t="e">
        <f t="shared" si="0"/>
        <v>#REF!</v>
      </c>
    </row>
    <row r="19" spans="2:5" s="90" customFormat="1" ht="12.75" customHeight="1">
      <c r="B19" s="75">
        <v>92116</v>
      </c>
      <c r="C19" s="103" t="s">
        <v>62</v>
      </c>
      <c r="D19" s="201" t="e">
        <f>Wydatki!#REF!</f>
        <v>#REF!</v>
      </c>
      <c r="E19" s="147" t="e">
        <f t="shared" si="0"/>
        <v>#REF!</v>
      </c>
    </row>
    <row r="20" spans="2:5" ht="12.75" customHeight="1">
      <c r="B20" s="75">
        <v>92195</v>
      </c>
      <c r="C20" s="103" t="s">
        <v>27</v>
      </c>
      <c r="D20" s="201" t="e">
        <f>Wydatki!#REF!</f>
        <v>#REF!</v>
      </c>
      <c r="E20" s="182" t="e">
        <f t="shared" si="0"/>
        <v>#REF!</v>
      </c>
    </row>
    <row r="21" spans="2:5" ht="12.75" customHeight="1">
      <c r="B21" s="78">
        <v>926</v>
      </c>
      <c r="C21" s="29" t="s">
        <v>63</v>
      </c>
      <c r="D21" s="215" t="e">
        <f>D22</f>
        <v>#REF!</v>
      </c>
      <c r="E21" s="157" t="e">
        <f t="shared" si="0"/>
        <v>#REF!</v>
      </c>
    </row>
    <row r="22" spans="2:5" s="90" customFormat="1" ht="12.75" customHeight="1">
      <c r="B22" s="79">
        <v>92605</v>
      </c>
      <c r="C22" s="92" t="s">
        <v>144</v>
      </c>
      <c r="D22" s="353" t="e">
        <f>Wydatki!#REF!-63000</f>
        <v>#REF!</v>
      </c>
      <c r="E22" s="182" t="e">
        <f t="shared" si="0"/>
        <v>#REF!</v>
      </c>
    </row>
    <row r="23" spans="2:5" s="90" customFormat="1" ht="12.75" customHeight="1">
      <c r="B23" s="81">
        <v>851</v>
      </c>
      <c r="C23" s="115" t="s">
        <v>46</v>
      </c>
      <c r="D23" s="200" t="e">
        <f>D24+D25</f>
        <v>#REF!</v>
      </c>
      <c r="E23" s="157" t="e">
        <f t="shared" si="0"/>
        <v>#REF!</v>
      </c>
    </row>
    <row r="24" spans="2:5" ht="12.75" customHeight="1">
      <c r="B24" s="75">
        <v>85153</v>
      </c>
      <c r="C24" s="107" t="s">
        <v>390</v>
      </c>
      <c r="D24" s="201" t="e">
        <f>Wydatki!#REF!</f>
        <v>#REF!</v>
      </c>
      <c r="E24" s="147" t="e">
        <f t="shared" si="0"/>
        <v>#REF!</v>
      </c>
    </row>
    <row r="25" spans="2:5" ht="12.75" customHeight="1">
      <c r="B25" s="80">
        <v>85154</v>
      </c>
      <c r="C25" s="116" t="s">
        <v>47</v>
      </c>
      <c r="D25" s="202" t="e">
        <f>Wydatki!#REF!</f>
        <v>#REF!</v>
      </c>
      <c r="E25" s="182" t="e">
        <f t="shared" si="0"/>
        <v>#REF!</v>
      </c>
    </row>
    <row r="26" spans="2:5" s="90" customFormat="1" ht="12.75" customHeight="1">
      <c r="B26" s="29">
        <v>630</v>
      </c>
      <c r="C26" s="104" t="s">
        <v>5</v>
      </c>
      <c r="D26" s="200" t="e">
        <f>D27</f>
        <v>#REF!</v>
      </c>
      <c r="E26" s="157" t="e">
        <f t="shared" si="0"/>
        <v>#REF!</v>
      </c>
    </row>
    <row r="27" spans="2:5" ht="12.75" customHeight="1">
      <c r="B27" s="32">
        <v>63001</v>
      </c>
      <c r="C27" s="103" t="s">
        <v>30</v>
      </c>
      <c r="D27" s="201" t="e">
        <f>Wydatki!#REF!</f>
        <v>#REF!</v>
      </c>
      <c r="E27" s="182" t="e">
        <f t="shared" si="0"/>
        <v>#REF!</v>
      </c>
    </row>
    <row r="28" spans="2:5" ht="12.75" customHeight="1">
      <c r="B28" s="354"/>
      <c r="C28" s="355" t="s">
        <v>12</v>
      </c>
      <c r="D28" s="356" t="e">
        <f>D5+D13+D17+D21+D23+D26</f>
        <v>#REF!</v>
      </c>
      <c r="E28" s="244" t="e">
        <f t="shared" si="0"/>
        <v>#REF!</v>
      </c>
    </row>
    <row r="30" spans="2:5" ht="12.75" customHeight="1">
      <c r="B30" s="233" t="s">
        <v>22</v>
      </c>
      <c r="C30" s="234" t="s">
        <v>24</v>
      </c>
      <c r="D30" s="229" t="s">
        <v>309</v>
      </c>
      <c r="E30" s="347" t="s">
        <v>436</v>
      </c>
    </row>
    <row r="31" spans="2:5" s="90" customFormat="1" ht="12.75" customHeight="1">
      <c r="B31" s="29">
        <v>852</v>
      </c>
      <c r="C31" s="29" t="s">
        <v>106</v>
      </c>
      <c r="D31" s="199" t="e">
        <f>D33+D35+D36+D37+D38+D39+D40+D34+D32</f>
        <v>#REF!</v>
      </c>
      <c r="E31" s="157" t="e">
        <f aca="true" t="shared" si="1" ref="E31:E43">D31/39394696.33%</f>
        <v>#REF!</v>
      </c>
    </row>
    <row r="32" spans="2:5" ht="12.75" customHeight="1">
      <c r="B32" s="32">
        <v>85202</v>
      </c>
      <c r="C32" s="32" t="s">
        <v>260</v>
      </c>
      <c r="D32" s="201" t="e">
        <f>Wydatki!#REF!</f>
        <v>#REF!</v>
      </c>
      <c r="E32" s="147" t="e">
        <f t="shared" si="1"/>
        <v>#REF!</v>
      </c>
    </row>
    <row r="33" spans="2:5" s="90" customFormat="1" ht="12.75" customHeight="1">
      <c r="B33" s="167">
        <v>85203</v>
      </c>
      <c r="C33" s="167" t="s">
        <v>48</v>
      </c>
      <c r="D33" s="218" t="e">
        <f>Wydatki!#REF!</f>
        <v>#REF!</v>
      </c>
      <c r="E33" s="147" t="e">
        <f t="shared" si="1"/>
        <v>#REF!</v>
      </c>
    </row>
    <row r="34" spans="2:5" ht="15" customHeight="1">
      <c r="B34" s="172">
        <v>85212</v>
      </c>
      <c r="C34" s="32" t="s">
        <v>235</v>
      </c>
      <c r="D34" s="213" t="e">
        <f>Wydatki!#REF!</f>
        <v>#REF!</v>
      </c>
      <c r="E34" s="147" t="e">
        <f t="shared" si="1"/>
        <v>#REF!</v>
      </c>
    </row>
    <row r="35" spans="2:5" ht="12.75" customHeight="1">
      <c r="B35" s="32">
        <v>85213</v>
      </c>
      <c r="C35" s="32" t="s">
        <v>49</v>
      </c>
      <c r="D35" s="201" t="e">
        <f>Wydatki!#REF!</f>
        <v>#REF!</v>
      </c>
      <c r="E35" s="147" t="e">
        <f t="shared" si="1"/>
        <v>#REF!</v>
      </c>
    </row>
    <row r="36" spans="2:5" ht="12.75" customHeight="1">
      <c r="B36" s="32">
        <v>85214</v>
      </c>
      <c r="C36" s="32" t="s">
        <v>66</v>
      </c>
      <c r="D36" s="201" t="e">
        <f>Wydatki!#REF!</f>
        <v>#REF!</v>
      </c>
      <c r="E36" s="147" t="e">
        <f t="shared" si="1"/>
        <v>#REF!</v>
      </c>
    </row>
    <row r="37" spans="2:5" s="90" customFormat="1" ht="12.75" customHeight="1">
      <c r="B37" s="32">
        <v>85215</v>
      </c>
      <c r="C37" s="32" t="s">
        <v>51</v>
      </c>
      <c r="D37" s="201" t="e">
        <f>Wydatki!#REF!</f>
        <v>#REF!</v>
      </c>
      <c r="E37" s="147" t="e">
        <f t="shared" si="1"/>
        <v>#REF!</v>
      </c>
    </row>
    <row r="38" spans="2:5" ht="12.75" customHeight="1">
      <c r="B38" s="32">
        <v>85219</v>
      </c>
      <c r="C38" s="32" t="s">
        <v>52</v>
      </c>
      <c r="D38" s="201" t="e">
        <f>Wydatki!#REF!</f>
        <v>#REF!</v>
      </c>
      <c r="E38" s="147" t="e">
        <f t="shared" si="1"/>
        <v>#REF!</v>
      </c>
    </row>
    <row r="39" spans="2:5" s="90" customFormat="1" ht="12.75" customHeight="1">
      <c r="B39" s="73">
        <v>85228</v>
      </c>
      <c r="C39" s="32" t="s">
        <v>53</v>
      </c>
      <c r="D39" s="205" t="e">
        <f>Wydatki!#REF!</f>
        <v>#REF!</v>
      </c>
      <c r="E39" s="147" t="e">
        <f t="shared" si="1"/>
        <v>#REF!</v>
      </c>
    </row>
    <row r="40" spans="2:5" ht="12.75" customHeight="1">
      <c r="B40" s="73">
        <v>85295</v>
      </c>
      <c r="C40" s="32" t="s">
        <v>27</v>
      </c>
      <c r="D40" s="205" t="e">
        <f>Wydatki!#REF!</f>
        <v>#REF!</v>
      </c>
      <c r="E40" s="182" t="e">
        <f t="shared" si="1"/>
        <v>#REF!</v>
      </c>
    </row>
    <row r="41" spans="2:5" s="90" customFormat="1" ht="12.75" customHeight="1">
      <c r="B41" s="78">
        <v>853</v>
      </c>
      <c r="C41" s="14" t="s">
        <v>348</v>
      </c>
      <c r="D41" s="212" t="e">
        <f>D42</f>
        <v>#REF!</v>
      </c>
      <c r="E41" s="157" t="e">
        <f t="shared" si="1"/>
        <v>#REF!</v>
      </c>
    </row>
    <row r="42" spans="2:5" s="90" customFormat="1" ht="12.75" customHeight="1">
      <c r="B42" s="73">
        <v>85395</v>
      </c>
      <c r="C42" s="32" t="s">
        <v>27</v>
      </c>
      <c r="D42" s="211" t="e">
        <f>Wydatki!#REF!</f>
        <v>#REF!</v>
      </c>
      <c r="E42" s="182" t="e">
        <f t="shared" si="1"/>
        <v>#REF!</v>
      </c>
    </row>
    <row r="43" spans="2:5" ht="12.75" customHeight="1">
      <c r="B43" s="354"/>
      <c r="C43" s="355" t="s">
        <v>12</v>
      </c>
      <c r="D43" s="356" t="e">
        <f>D31+D41</f>
        <v>#REF!</v>
      </c>
      <c r="E43" s="244" t="e">
        <f t="shared" si="1"/>
        <v>#REF!</v>
      </c>
    </row>
    <row r="45" spans="2:5" ht="12.75" customHeight="1">
      <c r="B45" s="233" t="s">
        <v>22</v>
      </c>
      <c r="C45" s="234" t="s">
        <v>24</v>
      </c>
      <c r="D45" s="229" t="s">
        <v>309</v>
      </c>
      <c r="E45" s="347" t="s">
        <v>436</v>
      </c>
    </row>
    <row r="46" spans="2:5" ht="12.75" customHeight="1">
      <c r="B46" s="78">
        <v>400</v>
      </c>
      <c r="C46" s="29" t="s">
        <v>84</v>
      </c>
      <c r="D46" s="200" t="e">
        <f>D48+D47</f>
        <v>#REF!</v>
      </c>
      <c r="E46" s="157" t="e">
        <f aca="true" t="shared" si="2" ref="E46:E60">D46/39394696.33%</f>
        <v>#REF!</v>
      </c>
    </row>
    <row r="47" spans="2:5" ht="12.75" customHeight="1">
      <c r="B47" s="73">
        <v>40002</v>
      </c>
      <c r="C47" s="32" t="s">
        <v>107</v>
      </c>
      <c r="D47" s="210" t="e">
        <f>Wydatki!#REF!-42000</f>
        <v>#REF!</v>
      </c>
      <c r="E47" s="147" t="e">
        <f t="shared" si="2"/>
        <v>#REF!</v>
      </c>
    </row>
    <row r="48" spans="2:5" ht="12.75" customHeight="1">
      <c r="B48" s="79">
        <v>40095</v>
      </c>
      <c r="C48" s="92" t="s">
        <v>27</v>
      </c>
      <c r="D48" s="208" t="e">
        <f>Wydatki!#REF!</f>
        <v>#REF!</v>
      </c>
      <c r="E48" s="182" t="e">
        <f t="shared" si="2"/>
        <v>#REF!</v>
      </c>
    </row>
    <row r="49" spans="2:5" ht="12.75" customHeight="1">
      <c r="B49" s="29">
        <v>600</v>
      </c>
      <c r="C49" s="29" t="s">
        <v>4</v>
      </c>
      <c r="D49" s="200" t="e">
        <f>D50</f>
        <v>#REF!</v>
      </c>
      <c r="E49" s="157" t="e">
        <f t="shared" si="2"/>
        <v>#REF!</v>
      </c>
    </row>
    <row r="50" spans="2:5" ht="12.75" customHeight="1">
      <c r="B50" s="32">
        <v>60016</v>
      </c>
      <c r="C50" s="32" t="s">
        <v>29</v>
      </c>
      <c r="D50" s="201" t="e">
        <f>Wydatki!#REF!-840000</f>
        <v>#REF!</v>
      </c>
      <c r="E50" s="182" t="e">
        <f t="shared" si="2"/>
        <v>#REF!</v>
      </c>
    </row>
    <row r="51" spans="2:5" ht="12.75" customHeight="1">
      <c r="B51" s="78">
        <v>700</v>
      </c>
      <c r="C51" s="29" t="s">
        <v>6</v>
      </c>
      <c r="D51" s="204" t="e">
        <f>D53+D52</f>
        <v>#REF!</v>
      </c>
      <c r="E51" s="157" t="e">
        <f t="shared" si="2"/>
        <v>#REF!</v>
      </c>
    </row>
    <row r="52" spans="2:5" ht="12.75" customHeight="1">
      <c r="B52" s="73">
        <v>70004</v>
      </c>
      <c r="C52" s="77" t="s">
        <v>158</v>
      </c>
      <c r="D52" s="205" t="e">
        <f>Wydatki!#REF!</f>
        <v>#REF!</v>
      </c>
      <c r="E52" s="147" t="e">
        <f t="shared" si="2"/>
        <v>#REF!</v>
      </c>
    </row>
    <row r="53" spans="2:5" ht="12.75" customHeight="1">
      <c r="B53" s="73">
        <v>70005</v>
      </c>
      <c r="C53" s="32" t="s">
        <v>31</v>
      </c>
      <c r="D53" s="205" t="e">
        <f>Wydatki!#REF!-210000</f>
        <v>#REF!</v>
      </c>
      <c r="E53" s="147" t="e">
        <f t="shared" si="2"/>
        <v>#REF!</v>
      </c>
    </row>
    <row r="54" spans="2:5" ht="12.75" customHeight="1">
      <c r="B54" s="78">
        <v>900</v>
      </c>
      <c r="C54" s="29" t="s">
        <v>10</v>
      </c>
      <c r="D54" s="199" t="e">
        <f>D55+D56+D57+D58+D59</f>
        <v>#REF!</v>
      </c>
      <c r="E54" s="157" t="e">
        <f t="shared" si="2"/>
        <v>#REF!</v>
      </c>
    </row>
    <row r="55" spans="2:5" ht="12.75" customHeight="1">
      <c r="B55" s="73">
        <v>90001</v>
      </c>
      <c r="C55" s="32" t="s">
        <v>56</v>
      </c>
      <c r="D55" s="214" t="e">
        <f>Wydatki!#REF!-60000</f>
        <v>#REF!</v>
      </c>
      <c r="E55" s="147" t="e">
        <f t="shared" si="2"/>
        <v>#REF!</v>
      </c>
    </row>
    <row r="56" spans="2:5" ht="12.75" customHeight="1">
      <c r="B56" s="73">
        <v>90003</v>
      </c>
      <c r="C56" s="32" t="s">
        <v>58</v>
      </c>
      <c r="D56" s="214" t="e">
        <f>Wydatki!#REF!</f>
        <v>#REF!</v>
      </c>
      <c r="E56" s="147" t="e">
        <f t="shared" si="2"/>
        <v>#REF!</v>
      </c>
    </row>
    <row r="57" spans="2:5" ht="12.75" customHeight="1">
      <c r="B57" s="73">
        <v>90004</v>
      </c>
      <c r="C57" s="32" t="s">
        <v>59</v>
      </c>
      <c r="D57" s="214" t="e">
        <f>Wydatki!#REF!</f>
        <v>#REF!</v>
      </c>
      <c r="E57" s="147" t="e">
        <f t="shared" si="2"/>
        <v>#REF!</v>
      </c>
    </row>
    <row r="58" spans="2:5" ht="12.75" customHeight="1">
      <c r="B58" s="73">
        <v>90015</v>
      </c>
      <c r="C58" s="32" t="s">
        <v>60</v>
      </c>
      <c r="D58" s="214" t="e">
        <f>Wydatki!#REF!-130000</f>
        <v>#REF!</v>
      </c>
      <c r="E58" s="147" t="e">
        <f t="shared" si="2"/>
        <v>#REF!</v>
      </c>
    </row>
    <row r="59" spans="2:5" ht="12.75" customHeight="1">
      <c r="B59" s="79">
        <v>90095</v>
      </c>
      <c r="C59" s="92" t="s">
        <v>27</v>
      </c>
      <c r="D59" s="357" t="e">
        <f>Wydatki!#REF!</f>
        <v>#REF!</v>
      </c>
      <c r="E59" s="182" t="e">
        <f t="shared" si="2"/>
        <v>#REF!</v>
      </c>
    </row>
    <row r="60" spans="2:5" ht="12.75" customHeight="1">
      <c r="B60" s="354"/>
      <c r="C60" s="355" t="s">
        <v>12</v>
      </c>
      <c r="D60" s="356" t="e">
        <f>D46+D49+D51+D54</f>
        <v>#REF!</v>
      </c>
      <c r="E60" s="244" t="e">
        <f t="shared" si="2"/>
        <v>#REF!</v>
      </c>
    </row>
    <row r="61" s="90" customFormat="1" ht="12.75" customHeight="1"/>
    <row r="62" spans="2:5" ht="12.75" customHeight="1">
      <c r="B62" s="233" t="s">
        <v>22</v>
      </c>
      <c r="C62" s="234" t="s">
        <v>24</v>
      </c>
      <c r="D62" s="229" t="s">
        <v>309</v>
      </c>
      <c r="E62" s="347" t="s">
        <v>436</v>
      </c>
    </row>
    <row r="63" spans="2:5" ht="12.75" customHeight="1">
      <c r="B63" s="81">
        <v>750</v>
      </c>
      <c r="C63" s="104" t="s">
        <v>7</v>
      </c>
      <c r="D63" s="200" t="e">
        <f>D64+D65+D66+D67</f>
        <v>#REF!</v>
      </c>
      <c r="E63" s="157" t="e">
        <f aca="true" t="shared" si="3" ref="E63:E68">D63/39394696.33%</f>
        <v>#REF!</v>
      </c>
    </row>
    <row r="64" spans="2:5" ht="12.75" customHeight="1">
      <c r="B64" s="75">
        <v>75011</v>
      </c>
      <c r="C64" s="103" t="s">
        <v>34</v>
      </c>
      <c r="D64" s="201" t="e">
        <f>Wydatki!#REF!</f>
        <v>#REF!</v>
      </c>
      <c r="E64" s="147" t="e">
        <f t="shared" si="3"/>
        <v>#REF!</v>
      </c>
    </row>
    <row r="65" spans="2:5" s="90" customFormat="1" ht="12.75" customHeight="1">
      <c r="B65" s="75">
        <v>75022</v>
      </c>
      <c r="C65" s="103" t="s">
        <v>35</v>
      </c>
      <c r="D65" s="201" t="e">
        <f>Wydatki!#REF!</f>
        <v>#REF!</v>
      </c>
      <c r="E65" s="147" t="e">
        <f t="shared" si="3"/>
        <v>#REF!</v>
      </c>
    </row>
    <row r="66" spans="2:5" ht="12.75" customHeight="1">
      <c r="B66" s="75">
        <v>75023</v>
      </c>
      <c r="C66" s="103" t="s">
        <v>36</v>
      </c>
      <c r="D66" s="201" t="e">
        <f>Wydatki!#REF!-150000</f>
        <v>#REF!</v>
      </c>
      <c r="E66" s="147" t="e">
        <f t="shared" si="3"/>
        <v>#REF!</v>
      </c>
    </row>
    <row r="67" spans="2:5" ht="12.75" customHeight="1">
      <c r="B67" s="80">
        <v>75095</v>
      </c>
      <c r="C67" s="105" t="s">
        <v>27</v>
      </c>
      <c r="D67" s="202" t="e">
        <f>Wydatki!#REF!</f>
        <v>#REF!</v>
      </c>
      <c r="E67" s="182" t="e">
        <f t="shared" si="3"/>
        <v>#REF!</v>
      </c>
    </row>
    <row r="68" spans="2:5" ht="12.75" customHeight="1">
      <c r="B68" s="354"/>
      <c r="C68" s="355" t="s">
        <v>12</v>
      </c>
      <c r="D68" s="356" t="e">
        <f>D63</f>
        <v>#REF!</v>
      </c>
      <c r="E68" s="244" t="e">
        <f t="shared" si="3"/>
        <v>#REF!</v>
      </c>
    </row>
    <row r="70" spans="2:5" ht="12.75" customHeight="1">
      <c r="B70" s="233" t="s">
        <v>22</v>
      </c>
      <c r="C70" s="234" t="s">
        <v>24</v>
      </c>
      <c r="D70" s="229" t="s">
        <v>309</v>
      </c>
      <c r="E70" s="347" t="s">
        <v>436</v>
      </c>
    </row>
    <row r="71" spans="2:5" ht="12.75" customHeight="1">
      <c r="B71" s="69" t="s">
        <v>67</v>
      </c>
      <c r="C71" s="29" t="s">
        <v>23</v>
      </c>
      <c r="D71" s="200" t="e">
        <f>D72</f>
        <v>#REF!</v>
      </c>
      <c r="E71" s="157" t="e">
        <f aca="true" t="shared" si="4" ref="E71:E91">D71/39394696.33%</f>
        <v>#REF!</v>
      </c>
    </row>
    <row r="72" spans="2:5" ht="12.75" customHeight="1">
      <c r="B72" s="70" t="s">
        <v>68</v>
      </c>
      <c r="C72" s="92" t="s">
        <v>25</v>
      </c>
      <c r="D72" s="202" t="e">
        <f>Wydatki!#REF!</f>
        <v>#REF!</v>
      </c>
      <c r="E72" s="182" t="e">
        <f t="shared" si="4"/>
        <v>#REF!</v>
      </c>
    </row>
    <row r="73" spans="2:5" ht="12.75" customHeight="1">
      <c r="B73" s="71" t="s">
        <v>69</v>
      </c>
      <c r="C73" s="106" t="s">
        <v>3</v>
      </c>
      <c r="D73" s="209" t="e">
        <f>D74</f>
        <v>#REF!</v>
      </c>
      <c r="E73" s="157" t="e">
        <f t="shared" si="4"/>
        <v>#REF!</v>
      </c>
    </row>
    <row r="74" spans="2:5" ht="12.75" customHeight="1">
      <c r="B74" s="72" t="s">
        <v>70</v>
      </c>
      <c r="C74" s="107" t="s">
        <v>26</v>
      </c>
      <c r="D74" s="201" t="e">
        <f>Wydatki!#REF!</f>
        <v>#REF!</v>
      </c>
      <c r="E74" s="147" t="e">
        <f t="shared" si="4"/>
        <v>#REF!</v>
      </c>
    </row>
    <row r="75" spans="2:5" ht="12.75" customHeight="1">
      <c r="B75" s="81">
        <v>500</v>
      </c>
      <c r="C75" s="115" t="s">
        <v>28</v>
      </c>
      <c r="D75" s="200" t="e">
        <f>D76</f>
        <v>#REF!</v>
      </c>
      <c r="E75" s="157" t="e">
        <f t="shared" si="4"/>
        <v>#REF!</v>
      </c>
    </row>
    <row r="76" spans="2:5" ht="12.75" customHeight="1">
      <c r="B76" s="80">
        <v>50095</v>
      </c>
      <c r="C76" s="116" t="s">
        <v>27</v>
      </c>
      <c r="D76" s="202" t="e">
        <f>Wydatki!#REF!</f>
        <v>#REF!</v>
      </c>
      <c r="E76" s="182" t="e">
        <f t="shared" si="4"/>
        <v>#REF!</v>
      </c>
    </row>
    <row r="77" spans="2:5" ht="12.75" customHeight="1">
      <c r="B77" s="78">
        <v>710</v>
      </c>
      <c r="C77" s="29" t="s">
        <v>32</v>
      </c>
      <c r="D77" s="351" t="e">
        <f>D79+D80+D78</f>
        <v>#REF!</v>
      </c>
      <c r="E77" s="157" t="e">
        <f t="shared" si="4"/>
        <v>#REF!</v>
      </c>
    </row>
    <row r="78" spans="2:5" ht="12.75" customHeight="1">
      <c r="B78" s="73">
        <v>71004</v>
      </c>
      <c r="C78" s="32" t="s">
        <v>172</v>
      </c>
      <c r="D78" s="348" t="e">
        <f>Wydatki!#REF!</f>
        <v>#REF!</v>
      </c>
      <c r="E78" s="147" t="e">
        <f t="shared" si="4"/>
        <v>#REF!</v>
      </c>
    </row>
    <row r="79" spans="2:5" ht="12.75" customHeight="1">
      <c r="B79" s="73">
        <v>71035</v>
      </c>
      <c r="C79" s="32" t="s">
        <v>33</v>
      </c>
      <c r="D79" s="348" t="e">
        <f>Wydatki!#REF!-50000</f>
        <v>#REF!</v>
      </c>
      <c r="E79" s="239" t="e">
        <f t="shared" si="4"/>
        <v>#REF!</v>
      </c>
    </row>
    <row r="80" spans="2:5" ht="12.75" customHeight="1">
      <c r="B80" s="79">
        <v>71095</v>
      </c>
      <c r="C80" s="92" t="s">
        <v>27</v>
      </c>
      <c r="D80" s="352" t="e">
        <f>Wydatki!#REF!</f>
        <v>#REF!</v>
      </c>
      <c r="E80" s="182" t="e">
        <f t="shared" si="4"/>
        <v>#REF!</v>
      </c>
    </row>
    <row r="81" spans="2:5" ht="12.75" customHeight="1">
      <c r="B81" s="78">
        <v>751</v>
      </c>
      <c r="C81" s="97" t="s">
        <v>264</v>
      </c>
      <c r="D81" s="204" t="e">
        <f>D82</f>
        <v>#REF!</v>
      </c>
      <c r="E81" s="157" t="e">
        <f t="shared" si="4"/>
        <v>#REF!</v>
      </c>
    </row>
    <row r="82" spans="2:5" ht="12.75" customHeight="1">
      <c r="B82" s="79">
        <v>75101</v>
      </c>
      <c r="C82" s="92" t="s">
        <v>264</v>
      </c>
      <c r="D82" s="206" t="e">
        <f>Wydatki!#REF!</f>
        <v>#REF!</v>
      </c>
      <c r="E82" s="182" t="e">
        <f t="shared" si="4"/>
        <v>#REF!</v>
      </c>
    </row>
    <row r="83" spans="2:5" ht="12.75" customHeight="1">
      <c r="B83" s="338">
        <v>754</v>
      </c>
      <c r="C83" s="76" t="s">
        <v>38</v>
      </c>
      <c r="D83" s="339" t="e">
        <f>D84</f>
        <v>#REF!</v>
      </c>
      <c r="E83" s="157" t="e">
        <f t="shared" si="4"/>
        <v>#REF!</v>
      </c>
    </row>
    <row r="84" spans="2:5" ht="12.75" customHeight="1">
      <c r="B84" s="73">
        <v>75412</v>
      </c>
      <c r="C84" s="32" t="s">
        <v>39</v>
      </c>
      <c r="D84" s="205" t="e">
        <f>Wydatki!#REF!-5000</f>
        <v>#REF!</v>
      </c>
      <c r="E84" s="182" t="e">
        <f t="shared" si="4"/>
        <v>#REF!</v>
      </c>
    </row>
    <row r="85" spans="2:5" ht="12.75" customHeight="1">
      <c r="B85" s="78">
        <v>756</v>
      </c>
      <c r="C85" s="29" t="s">
        <v>350</v>
      </c>
      <c r="D85" s="212" t="e">
        <f>D86</f>
        <v>#REF!</v>
      </c>
      <c r="E85" s="157" t="e">
        <f t="shared" si="4"/>
        <v>#REF!</v>
      </c>
    </row>
    <row r="86" spans="2:5" ht="12.75" customHeight="1">
      <c r="B86" s="79">
        <v>75647</v>
      </c>
      <c r="C86" s="92" t="s">
        <v>37</v>
      </c>
      <c r="D86" s="206" t="e">
        <f>Wydatki!#REF!</f>
        <v>#REF!</v>
      </c>
      <c r="E86" s="182" t="e">
        <f t="shared" si="4"/>
        <v>#REF!</v>
      </c>
    </row>
    <row r="87" spans="2:5" ht="12.75" customHeight="1">
      <c r="B87" s="74">
        <v>757</v>
      </c>
      <c r="C87" s="106" t="s">
        <v>40</v>
      </c>
      <c r="D87" s="209" t="e">
        <f>D88</f>
        <v>#REF!</v>
      </c>
      <c r="E87" s="157" t="e">
        <f t="shared" si="4"/>
        <v>#REF!</v>
      </c>
    </row>
    <row r="88" spans="2:5" ht="12.75" customHeight="1">
      <c r="B88" s="75">
        <v>75702</v>
      </c>
      <c r="C88" s="107" t="s">
        <v>86</v>
      </c>
      <c r="D88" s="201" t="e">
        <f>Wydatki!#REF!</f>
        <v>#REF!</v>
      </c>
      <c r="E88" s="182" t="e">
        <f t="shared" si="4"/>
        <v>#REF!</v>
      </c>
    </row>
    <row r="89" spans="2:5" ht="12.75" customHeight="1">
      <c r="B89" s="81">
        <v>758</v>
      </c>
      <c r="C89" s="115" t="s">
        <v>8</v>
      </c>
      <c r="D89" s="200" t="e">
        <f>D90</f>
        <v>#REF!</v>
      </c>
      <c r="E89" s="157" t="e">
        <f t="shared" si="4"/>
        <v>#REF!</v>
      </c>
    </row>
    <row r="90" spans="2:5" ht="12.75" customHeight="1">
      <c r="B90" s="75">
        <v>75818</v>
      </c>
      <c r="C90" s="107" t="s">
        <v>41</v>
      </c>
      <c r="D90" s="201" t="e">
        <f>Wydatki!#REF!</f>
        <v>#REF!</v>
      </c>
      <c r="E90" s="182" t="e">
        <f t="shared" si="4"/>
        <v>#REF!</v>
      </c>
    </row>
    <row r="91" spans="2:5" ht="12.75" customHeight="1">
      <c r="B91" s="354"/>
      <c r="C91" s="355" t="s">
        <v>12</v>
      </c>
      <c r="D91" s="356" t="e">
        <f>D71+D73+D75+D77+D81+D83+D85+D87+D89</f>
        <v>#REF!</v>
      </c>
      <c r="E91" s="244" t="e">
        <f t="shared" si="4"/>
        <v>#REF!</v>
      </c>
    </row>
    <row r="93" spans="2:5" ht="12.75" customHeight="1">
      <c r="B93" s="233" t="s">
        <v>22</v>
      </c>
      <c r="C93" s="234" t="s">
        <v>57</v>
      </c>
      <c r="D93" s="229" t="s">
        <v>309</v>
      </c>
      <c r="E93" s="372"/>
    </row>
    <row r="94" spans="2:5" ht="12.75" customHeight="1">
      <c r="B94" s="78">
        <v>400</v>
      </c>
      <c r="C94" s="29" t="s">
        <v>84</v>
      </c>
      <c r="D94" s="358">
        <f>D95</f>
        <v>42000</v>
      </c>
      <c r="E94" s="157">
        <f aca="true" t="shared" si="5" ref="E94:E125">D94/39394696.33%</f>
        <v>0.11</v>
      </c>
    </row>
    <row r="95" spans="2:5" ht="12.75" customHeight="1">
      <c r="B95" s="73">
        <v>40002</v>
      </c>
      <c r="C95" s="32" t="s">
        <v>107</v>
      </c>
      <c r="D95" s="359">
        <f>D96</f>
        <v>42000</v>
      </c>
      <c r="E95" s="147">
        <f t="shared" si="5"/>
        <v>0.11</v>
      </c>
    </row>
    <row r="96" spans="2:5" ht="12.75" customHeight="1">
      <c r="B96" s="73"/>
      <c r="C96" s="32" t="s">
        <v>57</v>
      </c>
      <c r="D96" s="359">
        <f>D97</f>
        <v>42000</v>
      </c>
      <c r="E96" s="147">
        <f t="shared" si="5"/>
        <v>0.11</v>
      </c>
    </row>
    <row r="97" spans="2:5" ht="12.75" customHeight="1">
      <c r="B97" s="79"/>
      <c r="C97" s="92" t="s">
        <v>236</v>
      </c>
      <c r="D97" s="360">
        <v>42000</v>
      </c>
      <c r="E97" s="182">
        <f t="shared" si="5"/>
        <v>0.11</v>
      </c>
    </row>
    <row r="98" spans="2:5" ht="12.75" customHeight="1">
      <c r="B98" s="29">
        <v>600</v>
      </c>
      <c r="C98" s="29" t="s">
        <v>4</v>
      </c>
      <c r="D98" s="358">
        <f>D99+D102</f>
        <v>890000</v>
      </c>
      <c r="E98" s="157">
        <f t="shared" si="5"/>
        <v>2.26</v>
      </c>
    </row>
    <row r="99" spans="2:5" ht="12.75" customHeight="1">
      <c r="B99" s="167">
        <v>60013</v>
      </c>
      <c r="C99" s="167" t="s">
        <v>329</v>
      </c>
      <c r="D99" s="361">
        <f>D100</f>
        <v>50000</v>
      </c>
      <c r="E99" s="147">
        <f t="shared" si="5"/>
        <v>0.13</v>
      </c>
    </row>
    <row r="100" spans="2:5" ht="12.75" customHeight="1">
      <c r="B100" s="305"/>
      <c r="C100" s="167" t="s">
        <v>420</v>
      </c>
      <c r="D100" s="361">
        <v>50000</v>
      </c>
      <c r="E100" s="147">
        <f t="shared" si="5"/>
        <v>0.13</v>
      </c>
    </row>
    <row r="101" spans="2:5" ht="12.75" customHeight="1">
      <c r="B101" s="305"/>
      <c r="C101" s="167" t="s">
        <v>434</v>
      </c>
      <c r="D101" s="361">
        <v>50000</v>
      </c>
      <c r="E101" s="147">
        <f t="shared" si="5"/>
        <v>0.13</v>
      </c>
    </row>
    <row r="102" spans="2:5" ht="12.75" customHeight="1">
      <c r="B102" s="32">
        <v>60016</v>
      </c>
      <c r="C102" s="32" t="s">
        <v>29</v>
      </c>
      <c r="D102" s="362">
        <f>D103</f>
        <v>840000</v>
      </c>
      <c r="E102" s="147">
        <f t="shared" si="5"/>
        <v>2.13</v>
      </c>
    </row>
    <row r="103" spans="2:5" ht="12.75" customHeight="1">
      <c r="B103" s="32"/>
      <c r="C103" s="32" t="s">
        <v>57</v>
      </c>
      <c r="D103" s="359">
        <f>D104+D107+D113+D112+D110+D111+D105+D106+D108+D109</f>
        <v>840000</v>
      </c>
      <c r="E103" s="147">
        <f t="shared" si="5"/>
        <v>2.13</v>
      </c>
    </row>
    <row r="104" spans="2:5" ht="12.75" customHeight="1">
      <c r="B104" s="167"/>
      <c r="C104" s="167" t="s">
        <v>150</v>
      </c>
      <c r="D104" s="363">
        <v>50000</v>
      </c>
      <c r="E104" s="147">
        <f t="shared" si="5"/>
        <v>0.13</v>
      </c>
    </row>
    <row r="105" spans="2:5" ht="12.75" customHeight="1">
      <c r="B105" s="167"/>
      <c r="C105" s="64" t="s">
        <v>437</v>
      </c>
      <c r="D105" s="363">
        <f>80000+100000</f>
        <v>180000</v>
      </c>
      <c r="E105" s="147">
        <f t="shared" si="5"/>
        <v>0.46</v>
      </c>
    </row>
    <row r="106" spans="2:5" ht="12.75" customHeight="1">
      <c r="B106" s="167"/>
      <c r="C106" s="64" t="s">
        <v>407</v>
      </c>
      <c r="D106" s="363">
        <f>100000+15000+30000</f>
        <v>145000</v>
      </c>
      <c r="E106" s="147">
        <f t="shared" si="5"/>
        <v>0.37</v>
      </c>
    </row>
    <row r="107" spans="2:5" ht="12.75" customHeight="1">
      <c r="B107" s="167"/>
      <c r="C107" s="167" t="s">
        <v>244</v>
      </c>
      <c r="D107" s="363">
        <v>100000</v>
      </c>
      <c r="E107" s="147">
        <f t="shared" si="5"/>
        <v>0.25</v>
      </c>
    </row>
    <row r="108" spans="2:5" ht="12.75" customHeight="1">
      <c r="B108" s="166"/>
      <c r="C108" s="167" t="s">
        <v>435</v>
      </c>
      <c r="D108" s="363">
        <v>50000</v>
      </c>
      <c r="E108" s="147">
        <f t="shared" si="5"/>
        <v>0.13</v>
      </c>
    </row>
    <row r="109" spans="2:5" ht="12.75" customHeight="1">
      <c r="B109" s="166"/>
      <c r="C109" s="167" t="s">
        <v>411</v>
      </c>
      <c r="D109" s="363">
        <v>50000</v>
      </c>
      <c r="E109" s="147">
        <f t="shared" si="5"/>
        <v>0.13</v>
      </c>
    </row>
    <row r="110" spans="2:5" ht="12.75" customHeight="1">
      <c r="B110" s="73"/>
      <c r="C110" s="77" t="s">
        <v>331</v>
      </c>
      <c r="D110" s="359">
        <v>50000</v>
      </c>
      <c r="E110" s="147">
        <f t="shared" si="5"/>
        <v>0.13</v>
      </c>
    </row>
    <row r="111" spans="2:5" ht="12.75" customHeight="1">
      <c r="B111" s="73"/>
      <c r="C111" s="77" t="s">
        <v>330</v>
      </c>
      <c r="D111" s="359">
        <v>40000</v>
      </c>
      <c r="E111" s="147">
        <f t="shared" si="5"/>
        <v>0.1</v>
      </c>
    </row>
    <row r="112" spans="2:5" ht="12.75" customHeight="1">
      <c r="B112" s="73"/>
      <c r="C112" s="77" t="s">
        <v>245</v>
      </c>
      <c r="D112" s="359">
        <f>50000+25000</f>
        <v>75000</v>
      </c>
      <c r="E112" s="147">
        <f t="shared" si="5"/>
        <v>0.19</v>
      </c>
    </row>
    <row r="113" spans="2:5" ht="12.75" customHeight="1">
      <c r="B113" s="32"/>
      <c r="C113" s="32" t="s">
        <v>151</v>
      </c>
      <c r="D113" s="359">
        <v>100000</v>
      </c>
      <c r="E113" s="182">
        <f t="shared" si="5"/>
        <v>0.25</v>
      </c>
    </row>
    <row r="114" spans="2:5" ht="12.75" customHeight="1">
      <c r="B114" s="78">
        <v>700</v>
      </c>
      <c r="C114" s="29" t="s">
        <v>6</v>
      </c>
      <c r="D114" s="351">
        <f>D115</f>
        <v>210000</v>
      </c>
      <c r="E114" s="157">
        <f t="shared" si="5"/>
        <v>0.53</v>
      </c>
    </row>
    <row r="115" spans="2:5" ht="12.75" customHeight="1">
      <c r="B115" s="73">
        <v>70005</v>
      </c>
      <c r="C115" s="32" t="s">
        <v>31</v>
      </c>
      <c r="D115" s="348">
        <f>D116</f>
        <v>210000</v>
      </c>
      <c r="E115" s="147">
        <f t="shared" si="5"/>
        <v>0.53</v>
      </c>
    </row>
    <row r="116" spans="2:5" ht="12.75" customHeight="1">
      <c r="B116" s="73"/>
      <c r="C116" s="167" t="s">
        <v>57</v>
      </c>
      <c r="D116" s="350">
        <f>D117+D118+D119</f>
        <v>210000</v>
      </c>
      <c r="E116" s="147">
        <f t="shared" si="5"/>
        <v>0.53</v>
      </c>
    </row>
    <row r="117" spans="2:5" ht="12.75" customHeight="1">
      <c r="B117" s="73"/>
      <c r="C117" s="167" t="s">
        <v>432</v>
      </c>
      <c r="D117" s="350">
        <v>30000</v>
      </c>
      <c r="E117" s="147">
        <f t="shared" si="5"/>
        <v>0.08</v>
      </c>
    </row>
    <row r="118" spans="2:5" ht="12.75" customHeight="1">
      <c r="B118" s="73"/>
      <c r="C118" s="32" t="s">
        <v>409</v>
      </c>
      <c r="D118" s="349">
        <v>80000</v>
      </c>
      <c r="E118" s="147">
        <f t="shared" si="5"/>
        <v>0.2</v>
      </c>
    </row>
    <row r="119" spans="2:5" ht="12.75" customHeight="1">
      <c r="B119" s="73"/>
      <c r="C119" s="32" t="s">
        <v>433</v>
      </c>
      <c r="D119" s="349">
        <v>100000</v>
      </c>
      <c r="E119" s="182">
        <f t="shared" si="5"/>
        <v>0.25</v>
      </c>
    </row>
    <row r="120" spans="2:5" ht="12.75" customHeight="1">
      <c r="B120" s="78">
        <v>710</v>
      </c>
      <c r="C120" s="29" t="s">
        <v>32</v>
      </c>
      <c r="D120" s="351">
        <f>D121</f>
        <v>50000</v>
      </c>
      <c r="E120" s="157">
        <f t="shared" si="5"/>
        <v>0.13</v>
      </c>
    </row>
    <row r="121" spans="2:5" ht="12.75" customHeight="1">
      <c r="B121" s="73">
        <v>71035</v>
      </c>
      <c r="C121" s="32" t="s">
        <v>33</v>
      </c>
      <c r="D121" s="348">
        <f>D122</f>
        <v>50000</v>
      </c>
      <c r="E121" s="147">
        <f t="shared" si="5"/>
        <v>0.13</v>
      </c>
    </row>
    <row r="122" spans="2:5" ht="12.75" customHeight="1">
      <c r="B122" s="73"/>
      <c r="C122" s="32" t="s">
        <v>57</v>
      </c>
      <c r="D122" s="349">
        <f>D123</f>
        <v>50000</v>
      </c>
      <c r="E122" s="147">
        <f t="shared" si="5"/>
        <v>0.13</v>
      </c>
    </row>
    <row r="123" spans="2:5" ht="12.75" customHeight="1">
      <c r="B123" s="79"/>
      <c r="C123" s="92" t="s">
        <v>153</v>
      </c>
      <c r="D123" s="364">
        <v>50000</v>
      </c>
      <c r="E123" s="182">
        <f t="shared" si="5"/>
        <v>0.13</v>
      </c>
    </row>
    <row r="124" spans="2:5" ht="12.75" customHeight="1">
      <c r="B124" s="74">
        <v>750</v>
      </c>
      <c r="C124" s="102" t="s">
        <v>7</v>
      </c>
      <c r="D124" s="365">
        <f>D125</f>
        <v>150000</v>
      </c>
      <c r="E124" s="157">
        <f t="shared" si="5"/>
        <v>0.38</v>
      </c>
    </row>
    <row r="125" spans="2:5" ht="12.75" customHeight="1">
      <c r="B125" s="75">
        <v>75023</v>
      </c>
      <c r="C125" s="103" t="s">
        <v>36</v>
      </c>
      <c r="D125" s="362">
        <f>D126</f>
        <v>150000</v>
      </c>
      <c r="E125" s="147">
        <f t="shared" si="5"/>
        <v>0.38</v>
      </c>
    </row>
    <row r="126" spans="2:5" ht="12.75" customHeight="1">
      <c r="B126" s="75"/>
      <c r="C126" s="103" t="s">
        <v>57</v>
      </c>
      <c r="D126" s="359">
        <f>D127+D128</f>
        <v>150000</v>
      </c>
      <c r="E126" s="147">
        <f aca="true" t="shared" si="6" ref="E126:E157">D126/39394696.33%</f>
        <v>0.38</v>
      </c>
    </row>
    <row r="127" spans="2:5" ht="12.75" customHeight="1">
      <c r="B127" s="75"/>
      <c r="C127" s="103" t="s">
        <v>237</v>
      </c>
      <c r="D127" s="359">
        <v>50000</v>
      </c>
      <c r="E127" s="147">
        <f t="shared" si="6"/>
        <v>0.13</v>
      </c>
    </row>
    <row r="128" spans="2:5" ht="12.75" customHeight="1">
      <c r="B128" s="75"/>
      <c r="C128" s="103" t="s">
        <v>238</v>
      </c>
      <c r="D128" s="359">
        <v>100000</v>
      </c>
      <c r="E128" s="182">
        <f t="shared" si="6"/>
        <v>0.25</v>
      </c>
    </row>
    <row r="129" spans="2:5" ht="12.75" customHeight="1">
      <c r="B129" s="78">
        <v>754</v>
      </c>
      <c r="C129" s="29" t="s">
        <v>38</v>
      </c>
      <c r="D129" s="351">
        <f>D130</f>
        <v>5000</v>
      </c>
      <c r="E129" s="157">
        <f t="shared" si="6"/>
        <v>0.01</v>
      </c>
    </row>
    <row r="130" spans="2:5" ht="12.75" customHeight="1">
      <c r="B130" s="73">
        <v>75412</v>
      </c>
      <c r="C130" s="32" t="s">
        <v>39</v>
      </c>
      <c r="D130" s="348">
        <f>D131</f>
        <v>5000</v>
      </c>
      <c r="E130" s="147">
        <f t="shared" si="6"/>
        <v>0.01</v>
      </c>
    </row>
    <row r="131" spans="2:5" ht="12.75" customHeight="1">
      <c r="B131" s="73"/>
      <c r="C131" s="32" t="s">
        <v>57</v>
      </c>
      <c r="D131" s="349">
        <f>D132</f>
        <v>5000</v>
      </c>
      <c r="E131" s="147">
        <f t="shared" si="6"/>
        <v>0.01</v>
      </c>
    </row>
    <row r="132" spans="2:5" ht="12.75" customHeight="1">
      <c r="B132" s="79"/>
      <c r="C132" s="92" t="s">
        <v>237</v>
      </c>
      <c r="D132" s="364">
        <v>5000</v>
      </c>
      <c r="E132" s="182">
        <f t="shared" si="6"/>
        <v>0.01</v>
      </c>
    </row>
    <row r="133" spans="2:5" ht="12.75" customHeight="1">
      <c r="B133" s="78">
        <v>801</v>
      </c>
      <c r="C133" s="29" t="s">
        <v>9</v>
      </c>
      <c r="D133" s="351">
        <f>D134</f>
        <v>502653.8</v>
      </c>
      <c r="E133" s="157">
        <f t="shared" si="6"/>
        <v>1.28</v>
      </c>
    </row>
    <row r="134" spans="2:5" ht="12.75" customHeight="1">
      <c r="B134" s="73">
        <v>80101</v>
      </c>
      <c r="C134" s="32" t="s">
        <v>43</v>
      </c>
      <c r="D134" s="348">
        <f>D135</f>
        <v>502653.8</v>
      </c>
      <c r="E134" s="147">
        <f t="shared" si="6"/>
        <v>1.28</v>
      </c>
    </row>
    <row r="135" spans="2:5" ht="12.75" customHeight="1">
      <c r="B135" s="166"/>
      <c r="C135" s="167" t="s">
        <v>57</v>
      </c>
      <c r="D135" s="350">
        <f>D138+D139+D136+D137+D140</f>
        <v>502653.8</v>
      </c>
      <c r="E135" s="147">
        <f t="shared" si="6"/>
        <v>1.28</v>
      </c>
    </row>
    <row r="136" spans="2:5" ht="12.75" customHeight="1">
      <c r="B136" s="166"/>
      <c r="C136" s="32" t="s">
        <v>304</v>
      </c>
      <c r="D136" s="350">
        <v>17000</v>
      </c>
      <c r="E136" s="147">
        <f t="shared" si="6"/>
        <v>0.04</v>
      </c>
    </row>
    <row r="137" spans="2:5" ht="12.75" customHeight="1">
      <c r="B137" s="166"/>
      <c r="C137" s="32" t="s">
        <v>418</v>
      </c>
      <c r="D137" s="350">
        <v>5000</v>
      </c>
      <c r="E137" s="147">
        <f t="shared" si="6"/>
        <v>0.01</v>
      </c>
    </row>
    <row r="138" spans="2:5" ht="12.75" customHeight="1">
      <c r="B138" s="166"/>
      <c r="C138" s="167" t="s">
        <v>389</v>
      </c>
      <c r="D138" s="350">
        <v>70000</v>
      </c>
      <c r="E138" s="147">
        <f t="shared" si="6"/>
        <v>0.18</v>
      </c>
    </row>
    <row r="139" spans="2:5" ht="12.75" customHeight="1">
      <c r="B139" s="73"/>
      <c r="C139" s="32" t="s">
        <v>305</v>
      </c>
      <c r="D139" s="349">
        <v>410653.8</v>
      </c>
      <c r="E139" s="147">
        <f t="shared" si="6"/>
        <v>1.04</v>
      </c>
    </row>
    <row r="140" spans="2:5" ht="12.75" customHeight="1">
      <c r="B140" s="79"/>
      <c r="C140" s="92"/>
      <c r="D140" s="364"/>
      <c r="E140" s="182">
        <f t="shared" si="6"/>
        <v>0</v>
      </c>
    </row>
    <row r="141" spans="2:5" ht="12.75" customHeight="1">
      <c r="B141" s="78">
        <v>900</v>
      </c>
      <c r="C141" s="29" t="s">
        <v>10</v>
      </c>
      <c r="D141" s="366">
        <f>D142+D145+D148</f>
        <v>4016664.53</v>
      </c>
      <c r="E141" s="157">
        <f t="shared" si="6"/>
        <v>10.2</v>
      </c>
    </row>
    <row r="142" spans="2:5" ht="12.75" customHeight="1">
      <c r="B142" s="73">
        <v>90001</v>
      </c>
      <c r="C142" s="32" t="s">
        <v>56</v>
      </c>
      <c r="D142" s="367">
        <f>D143</f>
        <v>60000</v>
      </c>
      <c r="E142" s="147">
        <f t="shared" si="6"/>
        <v>0.15</v>
      </c>
    </row>
    <row r="143" spans="2:5" ht="12.75" customHeight="1">
      <c r="B143" s="73"/>
      <c r="C143" s="32" t="s">
        <v>57</v>
      </c>
      <c r="D143" s="359">
        <f>D144</f>
        <v>60000</v>
      </c>
      <c r="E143" s="147">
        <f t="shared" si="6"/>
        <v>0.15</v>
      </c>
    </row>
    <row r="144" spans="2:5" ht="12.75" customHeight="1">
      <c r="B144" s="73"/>
      <c r="C144" s="167" t="s">
        <v>423</v>
      </c>
      <c r="D144" s="363">
        <v>60000</v>
      </c>
      <c r="E144" s="147">
        <f t="shared" si="6"/>
        <v>0.15</v>
      </c>
    </row>
    <row r="145" spans="2:5" ht="12.75" customHeight="1">
      <c r="B145" s="82">
        <v>90002</v>
      </c>
      <c r="C145" s="77" t="s">
        <v>228</v>
      </c>
      <c r="D145" s="359">
        <f>D146</f>
        <v>3826664.53</v>
      </c>
      <c r="E145" s="147">
        <f t="shared" si="6"/>
        <v>9.71</v>
      </c>
    </row>
    <row r="146" spans="2:5" ht="12.75" customHeight="1">
      <c r="B146" s="83"/>
      <c r="C146" s="77" t="s">
        <v>57</v>
      </c>
      <c r="D146" s="359">
        <f>D147</f>
        <v>3826664.53</v>
      </c>
      <c r="E146" s="147">
        <f t="shared" si="6"/>
        <v>9.71</v>
      </c>
    </row>
    <row r="147" spans="2:5" ht="12.75" customHeight="1">
      <c r="B147" s="124"/>
      <c r="C147" s="92" t="s">
        <v>303</v>
      </c>
      <c r="D147" s="360">
        <f>4186000-354335.47-5000</f>
        <v>3826664.53</v>
      </c>
      <c r="E147" s="182">
        <f t="shared" si="6"/>
        <v>9.71</v>
      </c>
    </row>
    <row r="148" spans="2:5" ht="12.75" customHeight="1">
      <c r="B148" s="343">
        <v>90015</v>
      </c>
      <c r="C148" s="97" t="s">
        <v>60</v>
      </c>
      <c r="D148" s="368">
        <f>D149</f>
        <v>130000</v>
      </c>
      <c r="E148" s="157">
        <f t="shared" si="6"/>
        <v>0.33</v>
      </c>
    </row>
    <row r="149" spans="2:5" ht="12.75" customHeight="1">
      <c r="B149" s="73"/>
      <c r="C149" s="32" t="s">
        <v>57</v>
      </c>
      <c r="D149" s="359">
        <f>D150+D151+D152+D153</f>
        <v>130000</v>
      </c>
      <c r="E149" s="147">
        <f t="shared" si="6"/>
        <v>0.33</v>
      </c>
    </row>
    <row r="150" spans="2:5" ht="12.75" customHeight="1">
      <c r="B150" s="73"/>
      <c r="C150" s="32" t="s">
        <v>332</v>
      </c>
      <c r="D150" s="359">
        <f>30000+10000</f>
        <v>40000</v>
      </c>
      <c r="E150" s="147">
        <f t="shared" si="6"/>
        <v>0.1</v>
      </c>
    </row>
    <row r="151" spans="2:5" ht="12.75" customHeight="1">
      <c r="B151" s="73"/>
      <c r="C151" s="32" t="s">
        <v>333</v>
      </c>
      <c r="D151" s="359">
        <v>30000</v>
      </c>
      <c r="E151" s="147">
        <f t="shared" si="6"/>
        <v>0.08</v>
      </c>
    </row>
    <row r="152" spans="2:5" ht="12.75" customHeight="1">
      <c r="B152" s="73"/>
      <c r="C152" s="32" t="s">
        <v>334</v>
      </c>
      <c r="D152" s="359">
        <v>30000</v>
      </c>
      <c r="E152" s="147">
        <f t="shared" si="6"/>
        <v>0.08</v>
      </c>
    </row>
    <row r="153" spans="2:5" ht="12.75" customHeight="1">
      <c r="B153" s="79"/>
      <c r="C153" s="92" t="s">
        <v>335</v>
      </c>
      <c r="D153" s="360">
        <v>30000</v>
      </c>
      <c r="E153" s="182">
        <f t="shared" si="6"/>
        <v>0.08</v>
      </c>
    </row>
    <row r="154" spans="2:5" ht="12.75" customHeight="1">
      <c r="B154" s="78">
        <v>926</v>
      </c>
      <c r="C154" s="29" t="s">
        <v>63</v>
      </c>
      <c r="D154" s="369">
        <f>D155</f>
        <v>63000</v>
      </c>
      <c r="E154" s="157">
        <f t="shared" si="6"/>
        <v>0.16</v>
      </c>
    </row>
    <row r="155" spans="2:5" ht="12.75" customHeight="1">
      <c r="B155" s="73">
        <v>92605</v>
      </c>
      <c r="C155" s="32" t="s">
        <v>144</v>
      </c>
      <c r="D155" s="370">
        <f>D156</f>
        <v>63000</v>
      </c>
      <c r="E155" s="147">
        <f t="shared" si="6"/>
        <v>0.16</v>
      </c>
    </row>
    <row r="156" spans="2:5" ht="12.75" customHeight="1">
      <c r="B156" s="73"/>
      <c r="C156" s="32" t="s">
        <v>57</v>
      </c>
      <c r="D156" s="349">
        <f>D157</f>
        <v>63000</v>
      </c>
      <c r="E156" s="147">
        <f t="shared" si="6"/>
        <v>0.16</v>
      </c>
    </row>
    <row r="157" spans="2:5" ht="12.75" customHeight="1">
      <c r="B157" s="73"/>
      <c r="C157" s="344" t="s">
        <v>410</v>
      </c>
      <c r="D157" s="350">
        <f>54000+9000</f>
        <v>63000</v>
      </c>
      <c r="E157" s="147">
        <f t="shared" si="6"/>
        <v>0.16</v>
      </c>
    </row>
    <row r="158" spans="2:5" ht="12.75" customHeight="1">
      <c r="B158" s="245"/>
      <c r="C158" s="246" t="s">
        <v>12</v>
      </c>
      <c r="D158" s="371">
        <f>D154+D141+D133+D129+D124+D120+D114+D98+D94</f>
        <v>5929318.33</v>
      </c>
      <c r="E158" s="373">
        <f>D158/39394696.33%</f>
        <v>15.05</v>
      </c>
    </row>
    <row r="159" spans="2:4" ht="12.75" customHeight="1">
      <c r="B159" s="68"/>
      <c r="C159" s="68"/>
      <c r="D159" s="217"/>
    </row>
    <row r="161" ht="12.75" customHeight="1">
      <c r="D161" s="374" t="e">
        <f>D158+D91+D68+D60+D43+D28</f>
        <v>#REF!</v>
      </c>
    </row>
  </sheetData>
  <mergeCells count="2">
    <mergeCell ref="B1:D1"/>
    <mergeCell ref="B2:D2"/>
  </mergeCells>
  <printOptions/>
  <pageMargins left="0.7874015748031497" right="0.1968503937007874" top="0.4330708661417323" bottom="0.5118110236220472" header="0.2362204724409449" footer="0.2362204724409449"/>
  <pageSetup horizontalDpi="600" verticalDpi="600" orientation="portrait" paperSize="9" r:id="rId1"/>
  <rowBreaks count="1" manualBreakCount="1">
    <brk id="6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739"/>
  <sheetViews>
    <sheetView showGridLines="0" workbookViewId="0" topLeftCell="A1">
      <selection activeCell="A108" sqref="A108:D126"/>
    </sheetView>
  </sheetViews>
  <sheetFormatPr defaultColWidth="9.00390625" defaultRowHeight="12.75" customHeight="1"/>
  <cols>
    <col min="1" max="1" width="6.75390625" style="68" customWidth="1"/>
    <col min="2" max="2" width="53.75390625" style="68" customWidth="1"/>
    <col min="3" max="4" width="14.875" style="148" customWidth="1"/>
    <col min="5" max="5" width="13.375" style="148" bestFit="1" customWidth="1"/>
    <col min="6" max="16384" width="9.125" style="148" customWidth="1"/>
  </cols>
  <sheetData>
    <row r="1" spans="1:4" ht="12.75" customHeight="1">
      <c r="A1" s="725" t="s">
        <v>463</v>
      </c>
      <c r="B1" s="725"/>
      <c r="C1" s="383"/>
      <c r="D1" s="383"/>
    </row>
    <row r="2" spans="1:3" s="89" customFormat="1" ht="12.75" customHeight="1">
      <c r="A2" s="692" t="s">
        <v>464</v>
      </c>
      <c r="B2" s="692"/>
      <c r="C2" s="692"/>
    </row>
    <row r="3" spans="1:4" s="90" customFormat="1" ht="12.75" customHeight="1">
      <c r="A3" s="95"/>
      <c r="B3" s="95"/>
      <c r="C3" s="384"/>
      <c r="D3" s="384"/>
    </row>
    <row r="4" spans="1:4" ht="12.75" customHeight="1">
      <c r="A4" s="233" t="s">
        <v>22</v>
      </c>
      <c r="B4" s="234" t="s">
        <v>2</v>
      </c>
      <c r="C4" s="382" t="s">
        <v>521</v>
      </c>
      <c r="D4" s="382" t="s">
        <v>521</v>
      </c>
    </row>
    <row r="5" spans="1:4" ht="12.75" customHeight="1">
      <c r="A5" s="461">
        <v>400</v>
      </c>
      <c r="B5" s="462" t="s">
        <v>84</v>
      </c>
      <c r="C5" s="463">
        <f>C6+C9</f>
        <v>1718394</v>
      </c>
      <c r="D5" s="463">
        <f>D6+D9</f>
        <v>1708394</v>
      </c>
    </row>
    <row r="6" spans="1:4" ht="12.75" customHeight="1">
      <c r="A6" s="167">
        <v>40001</v>
      </c>
      <c r="B6" s="167" t="s">
        <v>563</v>
      </c>
      <c r="C6" s="385">
        <f>C7</f>
        <v>10000</v>
      </c>
      <c r="D6" s="385">
        <f>D7</f>
        <v>0</v>
      </c>
    </row>
    <row r="7" spans="1:4" ht="12.75" customHeight="1">
      <c r="A7" s="167"/>
      <c r="B7" s="167" t="s">
        <v>57</v>
      </c>
      <c r="C7" s="385">
        <f>C8</f>
        <v>10000</v>
      </c>
      <c r="D7" s="385">
        <f>D8</f>
        <v>0</v>
      </c>
    </row>
    <row r="8" spans="1:4" ht="12.75" customHeight="1">
      <c r="A8" s="166"/>
      <c r="B8" s="167" t="s">
        <v>564</v>
      </c>
      <c r="C8" s="385">
        <v>10000</v>
      </c>
      <c r="D8" s="385"/>
    </row>
    <row r="9" spans="1:4" ht="12.75" customHeight="1">
      <c r="A9" s="166">
        <v>40002</v>
      </c>
      <c r="B9" s="167" t="s">
        <v>107</v>
      </c>
      <c r="C9" s="386">
        <f>C10</f>
        <v>1708394</v>
      </c>
      <c r="D9" s="386">
        <f>D10</f>
        <v>1708394</v>
      </c>
    </row>
    <row r="10" spans="1:4" ht="12.75" customHeight="1">
      <c r="A10" s="166"/>
      <c r="B10" s="167" t="s">
        <v>57</v>
      </c>
      <c r="C10" s="386">
        <f>C11</f>
        <v>1708394</v>
      </c>
      <c r="D10" s="386">
        <f>D11</f>
        <v>1708394</v>
      </c>
    </row>
    <row r="11" spans="1:4" ht="27" customHeight="1">
      <c r="A11" s="166"/>
      <c r="B11" s="167" t="s">
        <v>566</v>
      </c>
      <c r="C11" s="386">
        <v>1708394</v>
      </c>
      <c r="D11" s="386">
        <v>1708394</v>
      </c>
    </row>
    <row r="12" spans="1:4" s="90" customFormat="1" ht="12.75" customHeight="1">
      <c r="A12" s="461">
        <v>600</v>
      </c>
      <c r="B12" s="462" t="s">
        <v>4</v>
      </c>
      <c r="C12" s="468">
        <f>C16+C13</f>
        <v>3258236</v>
      </c>
      <c r="D12" s="468">
        <f>D16+D13</f>
        <v>1408600</v>
      </c>
    </row>
    <row r="13" spans="1:4" ht="12.75" customHeight="1">
      <c r="A13" s="166">
        <v>60014</v>
      </c>
      <c r="B13" s="167" t="s">
        <v>641</v>
      </c>
      <c r="C13" s="469">
        <f>C14</f>
        <v>250000</v>
      </c>
      <c r="D13" s="469">
        <f>D14</f>
        <v>250000</v>
      </c>
    </row>
    <row r="14" spans="1:4" s="495" customFormat="1" ht="12.75" customHeight="1">
      <c r="A14" s="166"/>
      <c r="B14" s="167" t="s">
        <v>538</v>
      </c>
      <c r="C14" s="469">
        <v>250000</v>
      </c>
      <c r="D14" s="469">
        <v>250000</v>
      </c>
    </row>
    <row r="15" spans="1:4" s="495" customFormat="1" ht="53.25" customHeight="1">
      <c r="A15" s="166"/>
      <c r="B15" s="167" t="s">
        <v>653</v>
      </c>
      <c r="C15" s="469"/>
      <c r="D15" s="469"/>
    </row>
    <row r="16" spans="1:4" s="495" customFormat="1" ht="12.75" customHeight="1">
      <c r="A16" s="166">
        <v>60016</v>
      </c>
      <c r="B16" s="167" t="s">
        <v>29</v>
      </c>
      <c r="C16" s="469">
        <f>C17</f>
        <v>3008236</v>
      </c>
      <c r="D16" s="469">
        <f>D17</f>
        <v>1158600</v>
      </c>
    </row>
    <row r="17" spans="1:4" s="495" customFormat="1" ht="12.75" customHeight="1">
      <c r="A17" s="166"/>
      <c r="B17" s="167" t="s">
        <v>57</v>
      </c>
      <c r="C17" s="387">
        <f>C18+SUM(C21:C38)</f>
        <v>3008236</v>
      </c>
      <c r="D17" s="387">
        <f>D18+SUM(D21:D38)</f>
        <v>1158600</v>
      </c>
    </row>
    <row r="18" spans="1:4" s="495" customFormat="1" ht="26.25" customHeight="1">
      <c r="A18" s="166"/>
      <c r="B18" s="479" t="s">
        <v>437</v>
      </c>
      <c r="C18" s="387">
        <f>1467236-495000</f>
        <v>972236</v>
      </c>
      <c r="D18" s="387"/>
    </row>
    <row r="19" spans="1:4" s="495" customFormat="1" ht="12.75" customHeight="1">
      <c r="A19" s="490"/>
      <c r="B19" s="491" t="s">
        <v>534</v>
      </c>
      <c r="C19" s="492">
        <v>560000</v>
      </c>
      <c r="D19" s="492"/>
    </row>
    <row r="20" spans="1:4" s="495" customFormat="1" ht="12.75" customHeight="1">
      <c r="A20" s="490"/>
      <c r="B20" s="494" t="s">
        <v>526</v>
      </c>
      <c r="C20" s="492">
        <v>250000</v>
      </c>
      <c r="D20" s="492"/>
    </row>
    <row r="21" spans="1:4" s="495" customFormat="1" ht="12.75" customHeight="1">
      <c r="A21" s="166"/>
      <c r="B21" s="479" t="s">
        <v>533</v>
      </c>
      <c r="C21" s="486">
        <f>160600+60000+60000+30000</f>
        <v>310600</v>
      </c>
      <c r="D21" s="486"/>
    </row>
    <row r="22" spans="1:4" s="495" customFormat="1" ht="12.75" customHeight="1">
      <c r="A22" s="166"/>
      <c r="B22" s="479" t="s">
        <v>677</v>
      </c>
      <c r="C22" s="486">
        <v>83000</v>
      </c>
      <c r="D22" s="486"/>
    </row>
    <row r="23" spans="1:4" s="495" customFormat="1" ht="12.75" customHeight="1">
      <c r="A23" s="166"/>
      <c r="B23" s="479" t="s">
        <v>529</v>
      </c>
      <c r="C23" s="486">
        <f>140000+30000</f>
        <v>170000</v>
      </c>
      <c r="D23" s="486"/>
    </row>
    <row r="24" spans="1:4" s="495" customFormat="1" ht="12.75" customHeight="1">
      <c r="A24" s="166"/>
      <c r="B24" s="479" t="s">
        <v>531</v>
      </c>
      <c r="C24" s="486">
        <f>50000+20000</f>
        <v>70000</v>
      </c>
      <c r="D24" s="486"/>
    </row>
    <row r="25" spans="1:4" s="495" customFormat="1" ht="12.75" customHeight="1">
      <c r="A25" s="166"/>
      <c r="B25" s="479" t="s">
        <v>530</v>
      </c>
      <c r="C25" s="486">
        <f>40000</f>
        <v>40000</v>
      </c>
      <c r="D25" s="486"/>
    </row>
    <row r="26" spans="1:4" s="495" customFormat="1" ht="12.75" customHeight="1">
      <c r="A26" s="166"/>
      <c r="B26" s="479" t="s">
        <v>528</v>
      </c>
      <c r="C26" s="486">
        <f>80000+48800</f>
        <v>128800</v>
      </c>
      <c r="D26" s="486">
        <f>80000+48800</f>
        <v>128800</v>
      </c>
    </row>
    <row r="27" spans="1:4" s="495" customFormat="1" ht="12.75" customHeight="1">
      <c r="A27" s="166"/>
      <c r="B27" s="167" t="s">
        <v>567</v>
      </c>
      <c r="C27" s="486">
        <v>51000</v>
      </c>
      <c r="D27" s="486">
        <v>51000</v>
      </c>
    </row>
    <row r="28" spans="1:4" s="495" customFormat="1" ht="12.75" customHeight="1">
      <c r="A28" s="166"/>
      <c r="B28" s="167" t="s">
        <v>527</v>
      </c>
      <c r="C28" s="486">
        <f>100000+48800</f>
        <v>148800</v>
      </c>
      <c r="D28" s="486">
        <f>100000+48800</f>
        <v>148800</v>
      </c>
    </row>
    <row r="29" spans="1:4" s="495" customFormat="1" ht="12.75" customHeight="1">
      <c r="A29" s="166"/>
      <c r="B29" s="479" t="s">
        <v>520</v>
      </c>
      <c r="C29" s="486">
        <v>50000</v>
      </c>
      <c r="D29" s="486"/>
    </row>
    <row r="30" spans="1:4" s="495" customFormat="1" ht="12.75" customHeight="1">
      <c r="A30" s="166"/>
      <c r="B30" s="479" t="s">
        <v>532</v>
      </c>
      <c r="C30" s="486">
        <f>40000+5000</f>
        <v>45000</v>
      </c>
      <c r="D30" s="486"/>
    </row>
    <row r="31" spans="1:4" s="495" customFormat="1" ht="27" customHeight="1">
      <c r="A31" s="166"/>
      <c r="B31" s="479" t="s">
        <v>592</v>
      </c>
      <c r="C31" s="486">
        <v>28800</v>
      </c>
      <c r="D31" s="486"/>
    </row>
    <row r="32" spans="1:4" s="495" customFormat="1" ht="26.25" customHeight="1">
      <c r="A32" s="166"/>
      <c r="B32" s="479" t="s">
        <v>579</v>
      </c>
      <c r="C32" s="486">
        <v>250000</v>
      </c>
      <c r="D32" s="486">
        <v>250000</v>
      </c>
    </row>
    <row r="33" spans="1:4" s="495" customFormat="1" ht="12.75" customHeight="1">
      <c r="A33" s="166"/>
      <c r="B33" s="466" t="s">
        <v>330</v>
      </c>
      <c r="C33" s="161">
        <v>70000</v>
      </c>
      <c r="D33" s="161">
        <v>70000</v>
      </c>
    </row>
    <row r="34" spans="1:4" s="496" customFormat="1" ht="12.75" customHeight="1">
      <c r="A34" s="166"/>
      <c r="B34" s="167" t="s">
        <v>535</v>
      </c>
      <c r="C34" s="161">
        <v>210000</v>
      </c>
      <c r="D34" s="161">
        <v>210000</v>
      </c>
    </row>
    <row r="35" spans="1:4" s="495" customFormat="1" ht="12.75" customHeight="1">
      <c r="A35" s="166"/>
      <c r="B35" s="487" t="s">
        <v>454</v>
      </c>
      <c r="C35" s="161">
        <v>100000</v>
      </c>
      <c r="D35" s="161">
        <v>100000</v>
      </c>
    </row>
    <row r="36" spans="1:4" s="495" customFormat="1" ht="12.75" customHeight="1">
      <c r="A36" s="166"/>
      <c r="B36" s="466" t="s">
        <v>453</v>
      </c>
      <c r="C36" s="161">
        <f>100000</f>
        <v>100000</v>
      </c>
      <c r="D36" s="161">
        <f>100000</f>
        <v>100000</v>
      </c>
    </row>
    <row r="37" spans="1:4" s="495" customFormat="1" ht="12.75" customHeight="1">
      <c r="A37" s="166"/>
      <c r="B37" s="466" t="s">
        <v>536</v>
      </c>
      <c r="C37" s="486">
        <v>100000</v>
      </c>
      <c r="D37" s="486">
        <v>100000</v>
      </c>
    </row>
    <row r="38" spans="1:4" s="496" customFormat="1" ht="12.75" customHeight="1">
      <c r="A38" s="301"/>
      <c r="B38" s="344" t="s">
        <v>537</v>
      </c>
      <c r="C38" s="346">
        <f>80000</f>
        <v>80000</v>
      </c>
      <c r="D38" s="346"/>
    </row>
    <row r="39" spans="1:4" s="495" customFormat="1" ht="12.75" customHeight="1">
      <c r="A39" s="462">
        <v>630</v>
      </c>
      <c r="B39" s="467" t="s">
        <v>5</v>
      </c>
      <c r="C39" s="463">
        <f>C40</f>
        <v>169451</v>
      </c>
      <c r="D39" s="463">
        <f>D40</f>
        <v>0</v>
      </c>
    </row>
    <row r="40" spans="1:4" s="496" customFormat="1" ht="12.75" customHeight="1">
      <c r="A40" s="166">
        <v>63095</v>
      </c>
      <c r="B40" s="479" t="s">
        <v>27</v>
      </c>
      <c r="C40" s="469">
        <f>C41</f>
        <v>169451</v>
      </c>
      <c r="D40" s="469">
        <f>D41</f>
        <v>0</v>
      </c>
    </row>
    <row r="41" spans="1:4" s="496" customFormat="1" ht="12.75" customHeight="1">
      <c r="A41" s="166"/>
      <c r="B41" s="167" t="s">
        <v>57</v>
      </c>
      <c r="C41" s="469">
        <f>C43+C42</f>
        <v>169451</v>
      </c>
      <c r="D41" s="469">
        <f>D43+D42</f>
        <v>0</v>
      </c>
    </row>
    <row r="42" spans="1:4" s="496" customFormat="1" ht="27" customHeight="1">
      <c r="A42" s="166"/>
      <c r="B42" s="167" t="s">
        <v>574</v>
      </c>
      <c r="C42" s="387">
        <v>83385</v>
      </c>
      <c r="D42" s="387"/>
    </row>
    <row r="43" spans="1:4" s="496" customFormat="1" ht="26.25" customHeight="1">
      <c r="A43" s="301"/>
      <c r="B43" s="489" t="s">
        <v>573</v>
      </c>
      <c r="C43" s="387">
        <v>86066</v>
      </c>
      <c r="D43" s="387"/>
    </row>
    <row r="44" spans="1:4" s="495" customFormat="1" ht="12.75" customHeight="1">
      <c r="A44" s="461">
        <v>700</v>
      </c>
      <c r="B44" s="462" t="s">
        <v>6</v>
      </c>
      <c r="C44" s="468">
        <f>C45</f>
        <v>737000</v>
      </c>
      <c r="D44" s="468">
        <f>D45</f>
        <v>4000</v>
      </c>
    </row>
    <row r="45" spans="1:4" s="495" customFormat="1" ht="12.75" customHeight="1">
      <c r="A45" s="166">
        <v>70005</v>
      </c>
      <c r="B45" s="167" t="s">
        <v>31</v>
      </c>
      <c r="C45" s="469">
        <f>C46</f>
        <v>737000</v>
      </c>
      <c r="D45" s="469">
        <f>D46</f>
        <v>4000</v>
      </c>
    </row>
    <row r="46" spans="1:4" s="495" customFormat="1" ht="12.75" customHeight="1">
      <c r="A46" s="166"/>
      <c r="B46" s="167" t="s">
        <v>57</v>
      </c>
      <c r="C46" s="387">
        <f>C47+C48+C49+C50</f>
        <v>737000</v>
      </c>
      <c r="D46" s="387">
        <f>D47+D48+D49+D50</f>
        <v>4000</v>
      </c>
    </row>
    <row r="47" spans="1:4" s="495" customFormat="1" ht="12.75" customHeight="1">
      <c r="A47" s="166"/>
      <c r="B47" s="167" t="s">
        <v>432</v>
      </c>
      <c r="C47" s="387">
        <v>4000</v>
      </c>
      <c r="D47" s="387">
        <v>4000</v>
      </c>
    </row>
    <row r="48" spans="1:4" s="495" customFormat="1" ht="12.75" customHeight="1">
      <c r="A48" s="166"/>
      <c r="B48" s="167" t="s">
        <v>590</v>
      </c>
      <c r="C48" s="387">
        <v>300000</v>
      </c>
      <c r="D48" s="387"/>
    </row>
    <row r="49" spans="1:4" s="495" customFormat="1" ht="12.75" customHeight="1">
      <c r="A49" s="166"/>
      <c r="B49" s="167" t="s">
        <v>591</v>
      </c>
      <c r="C49" s="387">
        <v>83000</v>
      </c>
      <c r="D49" s="387"/>
    </row>
    <row r="50" spans="1:4" s="495" customFormat="1" ht="26.25" customHeight="1">
      <c r="A50" s="166"/>
      <c r="B50" s="167" t="s">
        <v>580</v>
      </c>
      <c r="C50" s="387">
        <f>C51+C52+C53</f>
        <v>350000</v>
      </c>
      <c r="D50" s="387"/>
    </row>
    <row r="51" spans="1:4" s="495" customFormat="1" ht="12.75" customHeight="1">
      <c r="A51" s="166"/>
      <c r="B51" s="506" t="s">
        <v>539</v>
      </c>
      <c r="C51" s="488">
        <v>150000</v>
      </c>
      <c r="D51" s="488"/>
    </row>
    <row r="52" spans="1:4" s="495" customFormat="1" ht="12.75" customHeight="1">
      <c r="A52" s="166"/>
      <c r="B52" s="506" t="s">
        <v>540</v>
      </c>
      <c r="C52" s="488">
        <v>100000</v>
      </c>
      <c r="D52" s="488"/>
    </row>
    <row r="53" spans="1:4" s="495" customFormat="1" ht="12.75" customHeight="1">
      <c r="A53" s="301"/>
      <c r="B53" s="507" t="s">
        <v>541</v>
      </c>
      <c r="C53" s="505">
        <v>100000</v>
      </c>
      <c r="D53" s="505"/>
    </row>
    <row r="54" spans="1:4" s="495" customFormat="1" ht="12.75" customHeight="1">
      <c r="A54" s="464">
        <v>750</v>
      </c>
      <c r="B54" s="471" t="s">
        <v>7</v>
      </c>
      <c r="C54" s="458">
        <f>C55</f>
        <v>253495</v>
      </c>
      <c r="D54" s="458">
        <f>D55</f>
        <v>0</v>
      </c>
    </row>
    <row r="55" spans="1:4" s="495" customFormat="1" ht="12.75" customHeight="1">
      <c r="A55" s="465">
        <v>75023</v>
      </c>
      <c r="B55" s="408" t="s">
        <v>36</v>
      </c>
      <c r="C55" s="385">
        <f>C56</f>
        <v>253495</v>
      </c>
      <c r="D55" s="385">
        <f>D56</f>
        <v>0</v>
      </c>
    </row>
    <row r="56" spans="1:4" s="495" customFormat="1" ht="12.75" customHeight="1">
      <c r="A56" s="465"/>
      <c r="B56" s="408" t="s">
        <v>57</v>
      </c>
      <c r="C56" s="386">
        <f>C57+C58+C59</f>
        <v>253495</v>
      </c>
      <c r="D56" s="386">
        <f>D57+D58+D59</f>
        <v>0</v>
      </c>
    </row>
    <row r="57" spans="1:4" s="495" customFormat="1" ht="12.75" customHeight="1">
      <c r="A57" s="465"/>
      <c r="B57" s="408" t="s">
        <v>237</v>
      </c>
      <c r="C57" s="386">
        <f>50000</f>
        <v>50000</v>
      </c>
      <c r="D57" s="386"/>
    </row>
    <row r="58" spans="1:4" s="495" customFormat="1" ht="12.75" customHeight="1">
      <c r="A58" s="465"/>
      <c r="B58" s="408" t="s">
        <v>542</v>
      </c>
      <c r="C58" s="386">
        <v>63495</v>
      </c>
      <c r="D58" s="386"/>
    </row>
    <row r="59" spans="1:4" s="495" customFormat="1" ht="12.75" customHeight="1">
      <c r="A59" s="465"/>
      <c r="B59" s="408" t="s">
        <v>568</v>
      </c>
      <c r="C59" s="386">
        <v>140000</v>
      </c>
      <c r="D59" s="386"/>
    </row>
    <row r="60" spans="1:4" s="495" customFormat="1" ht="12.75" customHeight="1">
      <c r="A60" s="461">
        <v>801</v>
      </c>
      <c r="B60" s="462" t="s">
        <v>9</v>
      </c>
      <c r="C60" s="468">
        <f>C61+C69+C71</f>
        <v>2494000</v>
      </c>
      <c r="D60" s="468">
        <f>D61+D69+D71</f>
        <v>710000</v>
      </c>
    </row>
    <row r="61" spans="1:4" s="495" customFormat="1" ht="12.75" customHeight="1">
      <c r="A61" s="166">
        <v>80101</v>
      </c>
      <c r="B61" s="167" t="s">
        <v>43</v>
      </c>
      <c r="C61" s="469">
        <f>C62</f>
        <v>1060000</v>
      </c>
      <c r="D61" s="469">
        <f>D62</f>
        <v>710000</v>
      </c>
    </row>
    <row r="62" spans="1:4" s="495" customFormat="1" ht="12.75" customHeight="1">
      <c r="A62" s="166"/>
      <c r="B62" s="167" t="s">
        <v>57</v>
      </c>
      <c r="C62" s="387">
        <f>C63+C65+C66+C67+C64</f>
        <v>1060000</v>
      </c>
      <c r="D62" s="387">
        <f>D63+D65+D66+D67</f>
        <v>710000</v>
      </c>
    </row>
    <row r="63" spans="1:4" s="495" customFormat="1" ht="12.75" customHeight="1">
      <c r="A63" s="166"/>
      <c r="B63" s="167" t="s">
        <v>544</v>
      </c>
      <c r="C63" s="387">
        <v>275000</v>
      </c>
      <c r="D63" s="387"/>
    </row>
    <row r="64" spans="1:4" s="495" customFormat="1" ht="12.75" customHeight="1">
      <c r="A64" s="166"/>
      <c r="B64" s="167" t="s">
        <v>676</v>
      </c>
      <c r="C64" s="387">
        <v>75000</v>
      </c>
      <c r="D64" s="387"/>
    </row>
    <row r="65" spans="1:4" s="495" customFormat="1" ht="12.75" customHeight="1">
      <c r="A65" s="166"/>
      <c r="B65" s="167" t="s">
        <v>545</v>
      </c>
      <c r="C65" s="387">
        <v>95000</v>
      </c>
      <c r="D65" s="387">
        <v>95000</v>
      </c>
    </row>
    <row r="66" spans="1:4" s="495" customFormat="1" ht="12.75" customHeight="1">
      <c r="A66" s="166"/>
      <c r="B66" s="167" t="s">
        <v>543</v>
      </c>
      <c r="C66" s="387">
        <f>25000+120000</f>
        <v>145000</v>
      </c>
      <c r="D66" s="387">
        <f>25000+120000</f>
        <v>145000</v>
      </c>
    </row>
    <row r="67" spans="1:4" s="495" customFormat="1" ht="27" customHeight="1">
      <c r="A67" s="166"/>
      <c r="B67" s="167" t="s">
        <v>305</v>
      </c>
      <c r="C67" s="387">
        <v>470000</v>
      </c>
      <c r="D67" s="387">
        <v>470000</v>
      </c>
    </row>
    <row r="68" spans="1:4" s="495" customFormat="1" ht="12.75" customHeight="1">
      <c r="A68" s="166">
        <v>80104</v>
      </c>
      <c r="B68" s="167" t="s">
        <v>246</v>
      </c>
      <c r="C68" s="469">
        <f>C69</f>
        <v>1400000</v>
      </c>
      <c r="D68" s="469">
        <f>D69</f>
        <v>0</v>
      </c>
    </row>
    <row r="69" spans="1:4" s="495" customFormat="1" ht="12.75" customHeight="1">
      <c r="A69" s="166"/>
      <c r="B69" s="167" t="s">
        <v>57</v>
      </c>
      <c r="C69" s="469">
        <f>C70</f>
        <v>1400000</v>
      </c>
      <c r="D69" s="469">
        <f>D70</f>
        <v>0</v>
      </c>
    </row>
    <row r="70" spans="1:4" s="495" customFormat="1" ht="38.25" customHeight="1">
      <c r="A70" s="166"/>
      <c r="B70" s="167" t="s">
        <v>505</v>
      </c>
      <c r="C70" s="469">
        <v>1400000</v>
      </c>
      <c r="D70" s="469"/>
    </row>
    <row r="71" spans="1:4" s="515" customFormat="1" ht="12.75" customHeight="1">
      <c r="A71" s="166">
        <v>80195</v>
      </c>
      <c r="B71" s="167" t="s">
        <v>79</v>
      </c>
      <c r="C71" s="469">
        <f>C72</f>
        <v>34000</v>
      </c>
      <c r="D71" s="469">
        <f>D72</f>
        <v>0</v>
      </c>
    </row>
    <row r="72" spans="1:4" s="515" customFormat="1" ht="12.75" customHeight="1">
      <c r="A72" s="166"/>
      <c r="B72" s="167" t="s">
        <v>57</v>
      </c>
      <c r="C72" s="469">
        <f>C73</f>
        <v>34000</v>
      </c>
      <c r="D72" s="469">
        <f>D73</f>
        <v>0</v>
      </c>
    </row>
    <row r="73" spans="1:4" s="515" customFormat="1" ht="12.75" customHeight="1">
      <c r="A73" s="301"/>
      <c r="B73" s="344" t="s">
        <v>237</v>
      </c>
      <c r="C73" s="497">
        <v>34000</v>
      </c>
      <c r="D73" s="497"/>
    </row>
    <row r="74" spans="1:4" s="495" customFormat="1" ht="12.75" customHeight="1">
      <c r="A74" s="305">
        <v>900</v>
      </c>
      <c r="B74" s="305" t="s">
        <v>10</v>
      </c>
      <c r="C74" s="458">
        <f>C75+C78+C94</f>
        <v>2716304</v>
      </c>
      <c r="D74" s="458">
        <f>D75+D78+D94</f>
        <v>210000</v>
      </c>
    </row>
    <row r="75" spans="1:4" s="495" customFormat="1" ht="12.75" customHeight="1">
      <c r="A75" s="167">
        <v>90001</v>
      </c>
      <c r="B75" s="167" t="s">
        <v>56</v>
      </c>
      <c r="C75" s="385">
        <f>C76</f>
        <v>2437304</v>
      </c>
      <c r="D75" s="385">
        <f>D76</f>
        <v>0</v>
      </c>
    </row>
    <row r="76" spans="1:4" s="495" customFormat="1" ht="12.75" customHeight="1">
      <c r="A76" s="167"/>
      <c r="B76" s="167" t="s">
        <v>57</v>
      </c>
      <c r="C76" s="387">
        <f>C77</f>
        <v>2437304</v>
      </c>
      <c r="D76" s="387">
        <f>D77</f>
        <v>0</v>
      </c>
    </row>
    <row r="77" spans="1:4" s="495" customFormat="1" ht="27.75" customHeight="1">
      <c r="A77" s="167"/>
      <c r="B77" s="481" t="s">
        <v>562</v>
      </c>
      <c r="C77" s="387">
        <v>2437304</v>
      </c>
      <c r="D77" s="387"/>
    </row>
    <row r="78" spans="1:4" s="495" customFormat="1" ht="12.75" customHeight="1">
      <c r="A78" s="167">
        <v>90015</v>
      </c>
      <c r="B78" s="167" t="s">
        <v>60</v>
      </c>
      <c r="C78" s="385">
        <f>C79</f>
        <v>227000</v>
      </c>
      <c r="D78" s="385">
        <f>D79</f>
        <v>192000</v>
      </c>
    </row>
    <row r="79" spans="1:4" s="495" customFormat="1" ht="12.75" customHeight="1">
      <c r="A79" s="167"/>
      <c r="B79" s="167" t="s">
        <v>57</v>
      </c>
      <c r="C79" s="387">
        <f>SUM(C80:C93)</f>
        <v>227000</v>
      </c>
      <c r="D79" s="387">
        <f>SUM(D80:D93)</f>
        <v>192000</v>
      </c>
    </row>
    <row r="80" spans="1:4" s="495" customFormat="1" ht="12.75" customHeight="1">
      <c r="A80" s="167"/>
      <c r="B80" s="167" t="s">
        <v>546</v>
      </c>
      <c r="C80" s="387">
        <v>20000</v>
      </c>
      <c r="D80" s="387">
        <v>20000</v>
      </c>
    </row>
    <row r="81" spans="1:4" s="495" customFormat="1" ht="12.75" customHeight="1">
      <c r="A81" s="167"/>
      <c r="B81" s="167" t="s">
        <v>547</v>
      </c>
      <c r="C81" s="387">
        <v>20000</v>
      </c>
      <c r="D81" s="387">
        <v>20000</v>
      </c>
    </row>
    <row r="82" spans="1:4" s="495" customFormat="1" ht="12.75" customHeight="1">
      <c r="A82" s="167"/>
      <c r="B82" s="167" t="s">
        <v>548</v>
      </c>
      <c r="C82" s="387">
        <v>10000</v>
      </c>
      <c r="D82" s="387">
        <v>10000</v>
      </c>
    </row>
    <row r="83" spans="1:4" s="495" customFormat="1" ht="12.75" customHeight="1">
      <c r="A83" s="167"/>
      <c r="B83" s="167" t="s">
        <v>549</v>
      </c>
      <c r="C83" s="387">
        <v>10000</v>
      </c>
      <c r="D83" s="387">
        <v>10000</v>
      </c>
    </row>
    <row r="84" spans="1:4" s="495" customFormat="1" ht="12.75" customHeight="1">
      <c r="A84" s="167"/>
      <c r="B84" s="167" t="s">
        <v>550</v>
      </c>
      <c r="C84" s="387">
        <v>15000</v>
      </c>
      <c r="D84" s="387">
        <v>15000</v>
      </c>
    </row>
    <row r="85" spans="1:4" s="495" customFormat="1" ht="12.75" customHeight="1">
      <c r="A85" s="167"/>
      <c r="B85" s="167" t="s">
        <v>557</v>
      </c>
      <c r="C85" s="387">
        <v>15000</v>
      </c>
      <c r="D85" s="387">
        <v>15000</v>
      </c>
    </row>
    <row r="86" spans="1:4" s="495" customFormat="1" ht="12.75" customHeight="1">
      <c r="A86" s="167"/>
      <c r="B86" s="167" t="s">
        <v>558</v>
      </c>
      <c r="C86" s="387">
        <v>11000</v>
      </c>
      <c r="D86" s="387">
        <v>11000</v>
      </c>
    </row>
    <row r="87" spans="1:4" s="495" customFormat="1" ht="12.75" customHeight="1">
      <c r="A87" s="167"/>
      <c r="B87" s="167" t="s">
        <v>559</v>
      </c>
      <c r="C87" s="387">
        <v>11000</v>
      </c>
      <c r="D87" s="387">
        <v>11000</v>
      </c>
    </row>
    <row r="88" spans="1:4" s="495" customFormat="1" ht="12.75" customHeight="1">
      <c r="A88" s="167"/>
      <c r="B88" s="167" t="s">
        <v>552</v>
      </c>
      <c r="C88" s="387">
        <v>15000</v>
      </c>
      <c r="D88" s="387"/>
    </row>
    <row r="89" spans="1:4" s="495" customFormat="1" ht="12.75" customHeight="1">
      <c r="A89" s="167"/>
      <c r="B89" s="167" t="s">
        <v>551</v>
      </c>
      <c r="C89" s="387">
        <v>10000</v>
      </c>
      <c r="D89" s="387">
        <v>10000</v>
      </c>
    </row>
    <row r="90" spans="1:4" s="495" customFormat="1" ht="12.75" customHeight="1">
      <c r="A90" s="167"/>
      <c r="B90" s="167" t="s">
        <v>553</v>
      </c>
      <c r="C90" s="387">
        <v>20000</v>
      </c>
      <c r="D90" s="387">
        <v>20000</v>
      </c>
    </row>
    <row r="91" spans="1:4" s="495" customFormat="1" ht="12.75" customHeight="1">
      <c r="A91" s="167"/>
      <c r="B91" s="167" t="s">
        <v>554</v>
      </c>
      <c r="C91" s="387">
        <v>10000</v>
      </c>
      <c r="D91" s="387"/>
    </row>
    <row r="92" spans="1:4" s="495" customFormat="1" ht="12.75" customHeight="1">
      <c r="A92" s="167"/>
      <c r="B92" s="167" t="s">
        <v>555</v>
      </c>
      <c r="C92" s="387">
        <v>10000</v>
      </c>
      <c r="D92" s="387"/>
    </row>
    <row r="93" spans="1:4" s="495" customFormat="1" ht="12.75" customHeight="1">
      <c r="A93" s="167"/>
      <c r="B93" s="167" t="s">
        <v>556</v>
      </c>
      <c r="C93" s="387">
        <v>50000</v>
      </c>
      <c r="D93" s="387">
        <v>50000</v>
      </c>
    </row>
    <row r="94" spans="1:4" s="495" customFormat="1" ht="12.75" customHeight="1">
      <c r="A94" s="167">
        <v>90095</v>
      </c>
      <c r="B94" s="167" t="s">
        <v>27</v>
      </c>
      <c r="C94" s="498">
        <f>C95</f>
        <v>52000</v>
      </c>
      <c r="D94" s="498">
        <f>D95</f>
        <v>18000</v>
      </c>
    </row>
    <row r="95" spans="1:4" s="495" customFormat="1" ht="12.75" customHeight="1">
      <c r="A95" s="167"/>
      <c r="B95" s="167" t="s">
        <v>57</v>
      </c>
      <c r="C95" s="386">
        <f>C97+C96</f>
        <v>52000</v>
      </c>
      <c r="D95" s="386">
        <f>D97+D96</f>
        <v>18000</v>
      </c>
    </row>
    <row r="96" spans="1:4" s="495" customFormat="1" ht="27.75" customHeight="1">
      <c r="A96" s="167"/>
      <c r="B96" s="167" t="s">
        <v>561</v>
      </c>
      <c r="C96" s="387">
        <v>18000</v>
      </c>
      <c r="D96" s="387">
        <v>18000</v>
      </c>
    </row>
    <row r="97" spans="1:4" s="495" customFormat="1" ht="12.75" customHeight="1">
      <c r="A97" s="344"/>
      <c r="B97" s="344" t="s">
        <v>237</v>
      </c>
      <c r="C97" s="476">
        <f>30000+4000</f>
        <v>34000</v>
      </c>
      <c r="D97" s="476"/>
    </row>
    <row r="98" spans="1:4" s="495" customFormat="1" ht="12.75" customHeight="1">
      <c r="A98" s="483">
        <v>921</v>
      </c>
      <c r="B98" s="467" t="s">
        <v>11</v>
      </c>
      <c r="C98" s="463">
        <f>C99</f>
        <v>449000</v>
      </c>
      <c r="D98" s="463">
        <f>D99</f>
        <v>449000</v>
      </c>
    </row>
    <row r="99" spans="1:4" s="495" customFormat="1" ht="12.75" customHeight="1">
      <c r="A99" s="465">
        <v>92109</v>
      </c>
      <c r="B99" s="408" t="s">
        <v>61</v>
      </c>
      <c r="C99" s="385">
        <f>C101</f>
        <v>449000</v>
      </c>
      <c r="D99" s="385">
        <f>D101</f>
        <v>449000</v>
      </c>
    </row>
    <row r="100" spans="1:4" s="495" customFormat="1" ht="12.75" customHeight="1">
      <c r="A100" s="465"/>
      <c r="B100" s="167" t="s">
        <v>57</v>
      </c>
      <c r="C100" s="386">
        <f>C101</f>
        <v>449000</v>
      </c>
      <c r="D100" s="386">
        <f>D101</f>
        <v>449000</v>
      </c>
    </row>
    <row r="101" spans="1:4" s="495" customFormat="1" ht="12.75" customHeight="1">
      <c r="A101" s="472"/>
      <c r="B101" s="473" t="s">
        <v>565</v>
      </c>
      <c r="C101" s="455">
        <f>149000+300000</f>
        <v>449000</v>
      </c>
      <c r="D101" s="455">
        <f>149000+300000</f>
        <v>449000</v>
      </c>
    </row>
    <row r="102" spans="1:4" s="495" customFormat="1" ht="12.75" customHeight="1">
      <c r="A102" s="474">
        <v>926</v>
      </c>
      <c r="B102" s="305" t="s">
        <v>63</v>
      </c>
      <c r="C102" s="475">
        <f>C103</f>
        <v>4383802</v>
      </c>
      <c r="D102" s="475">
        <f>D103</f>
        <v>0</v>
      </c>
    </row>
    <row r="103" spans="1:4" s="495" customFormat="1" ht="12.75" customHeight="1">
      <c r="A103" s="166">
        <v>92605</v>
      </c>
      <c r="B103" s="167" t="s">
        <v>144</v>
      </c>
      <c r="C103" s="387">
        <f>C104</f>
        <v>4383802</v>
      </c>
      <c r="D103" s="387">
        <f>D104</f>
        <v>0</v>
      </c>
    </row>
    <row r="104" spans="1:4" s="495" customFormat="1" ht="12.75" customHeight="1">
      <c r="A104" s="166"/>
      <c r="B104" s="167" t="s">
        <v>57</v>
      </c>
      <c r="C104" s="387">
        <f>C105+C106</f>
        <v>4383802</v>
      </c>
      <c r="D104" s="387">
        <f>D105+D106</f>
        <v>0</v>
      </c>
    </row>
    <row r="105" spans="1:4" s="495" customFormat="1" ht="25.5" customHeight="1">
      <c r="A105" s="166"/>
      <c r="B105" s="167" t="s">
        <v>560</v>
      </c>
      <c r="C105" s="387">
        <f>1989824+893978</f>
        <v>2883802</v>
      </c>
      <c r="D105" s="387"/>
    </row>
    <row r="106" spans="1:4" s="495" customFormat="1" ht="25.5" customHeight="1">
      <c r="A106" s="166"/>
      <c r="B106" s="167" t="s">
        <v>584</v>
      </c>
      <c r="C106" s="387">
        <v>1500000</v>
      </c>
      <c r="D106" s="387"/>
    </row>
    <row r="107" spans="1:4" s="495" customFormat="1" ht="12.75" customHeight="1">
      <c r="A107" s="499"/>
      <c r="B107" s="500" t="s">
        <v>12</v>
      </c>
      <c r="C107" s="501">
        <f>C74+C60+C54+C44+C39+C12+C98+C102+C5</f>
        <v>16179682</v>
      </c>
      <c r="D107" s="501">
        <f>D74+D60+D54+D44+D39+D12+D98+D102+D5</f>
        <v>4489994</v>
      </c>
    </row>
    <row r="108" spans="1:4" s="495" customFormat="1" ht="12.75" customHeight="1">
      <c r="A108" s="502"/>
      <c r="B108" s="502"/>
      <c r="C108" s="503"/>
      <c r="D108" s="503"/>
    </row>
    <row r="109" spans="1:4" s="495" customFormat="1" ht="12.75" customHeight="1">
      <c r="A109" s="502"/>
      <c r="B109" s="502"/>
      <c r="C109" s="503"/>
      <c r="D109" s="503"/>
    </row>
    <row r="110" spans="1:4" s="495" customFormat="1" ht="12.75" customHeight="1">
      <c r="A110" s="502"/>
      <c r="B110" s="502"/>
      <c r="C110" s="503"/>
      <c r="D110" s="503"/>
    </row>
    <row r="111" spans="1:4" s="495" customFormat="1" ht="12.75" customHeight="1">
      <c r="A111" s="502"/>
      <c r="B111" s="502"/>
      <c r="C111" s="503"/>
      <c r="D111" s="503"/>
    </row>
    <row r="112" s="495" customFormat="1" ht="12.75" customHeight="1">
      <c r="A112" s="502"/>
    </row>
    <row r="113" spans="1:4" s="495" customFormat="1" ht="12.75" customHeight="1">
      <c r="A113" s="502"/>
      <c r="B113" s="502"/>
      <c r="C113" s="687"/>
      <c r="D113" s="504"/>
    </row>
    <row r="114" spans="1:4" s="495" customFormat="1" ht="12.75" customHeight="1">
      <c r="A114" s="502"/>
      <c r="B114" s="502"/>
      <c r="C114" s="687"/>
      <c r="D114" s="504"/>
    </row>
    <row r="115" spans="1:4" s="495" customFormat="1" ht="12.75" customHeight="1">
      <c r="A115" s="502"/>
      <c r="B115" s="502"/>
      <c r="C115" s="687"/>
      <c r="D115" s="504"/>
    </row>
    <row r="116" spans="1:4" s="495" customFormat="1" ht="12.75" customHeight="1">
      <c r="A116" s="502"/>
      <c r="B116" s="502"/>
      <c r="C116" s="687"/>
      <c r="D116" s="504"/>
    </row>
    <row r="117" spans="1:4" s="495" customFormat="1" ht="12.75" customHeight="1">
      <c r="A117" s="502"/>
      <c r="B117" s="502"/>
      <c r="C117" s="687"/>
      <c r="D117" s="504"/>
    </row>
    <row r="118" s="495" customFormat="1" ht="12.75" customHeight="1">
      <c r="A118" s="502"/>
    </row>
    <row r="119" spans="1:4" s="495" customFormat="1" ht="12.75" customHeight="1">
      <c r="A119" s="502"/>
      <c r="B119" s="502"/>
      <c r="C119" s="687"/>
      <c r="D119" s="504"/>
    </row>
    <row r="120" s="495" customFormat="1" ht="12.75" customHeight="1">
      <c r="A120" s="502"/>
    </row>
    <row r="121" spans="1:4" s="495" customFormat="1" ht="12.75" customHeight="1">
      <c r="A121" s="502"/>
      <c r="B121" s="502"/>
      <c r="C121" s="503"/>
      <c r="D121" s="503"/>
    </row>
    <row r="122" spans="1:4" s="495" customFormat="1" ht="12.75" customHeight="1">
      <c r="A122" s="502"/>
      <c r="B122" s="502"/>
      <c r="C122" s="503"/>
      <c r="D122" s="503"/>
    </row>
    <row r="123" spans="1:4" s="495" customFormat="1" ht="12.75" customHeight="1">
      <c r="A123" s="502"/>
      <c r="B123" s="502"/>
      <c r="C123" s="687"/>
      <c r="D123" s="504"/>
    </row>
    <row r="124" spans="1:4" s="495" customFormat="1" ht="12.75" customHeight="1">
      <c r="A124" s="502"/>
      <c r="B124" s="502"/>
      <c r="C124" s="687"/>
      <c r="D124" s="504"/>
    </row>
    <row r="125" spans="1:4" s="495" customFormat="1" ht="12.75" customHeight="1">
      <c r="A125" s="502"/>
      <c r="B125" s="502"/>
      <c r="C125" s="503"/>
      <c r="D125" s="503"/>
    </row>
    <row r="126" spans="1:4" s="495" customFormat="1" ht="12.75" customHeight="1">
      <c r="A126" s="502"/>
      <c r="B126" s="502"/>
      <c r="C126" s="687"/>
      <c r="D126" s="504"/>
    </row>
    <row r="127" spans="1:4" s="495" customFormat="1" ht="12.75" customHeight="1">
      <c r="A127" s="502"/>
      <c r="B127" s="502"/>
      <c r="C127" s="503"/>
      <c r="D127" s="503"/>
    </row>
    <row r="128" spans="1:4" s="495" customFormat="1" ht="12.75" customHeight="1">
      <c r="A128" s="502"/>
      <c r="B128" s="502"/>
      <c r="C128" s="503"/>
      <c r="D128" s="503"/>
    </row>
    <row r="129" spans="1:4" s="495" customFormat="1" ht="12.75" customHeight="1">
      <c r="A129" s="502"/>
      <c r="B129" s="502"/>
      <c r="C129" s="503"/>
      <c r="D129" s="503"/>
    </row>
    <row r="130" spans="1:4" s="495" customFormat="1" ht="12.75" customHeight="1">
      <c r="A130" s="502"/>
      <c r="B130" s="502"/>
      <c r="C130" s="503"/>
      <c r="D130" s="503"/>
    </row>
    <row r="131" spans="1:4" s="495" customFormat="1" ht="12.75" customHeight="1">
      <c r="A131" s="502"/>
      <c r="B131" s="502"/>
      <c r="C131" s="503"/>
      <c r="D131" s="503"/>
    </row>
    <row r="132" spans="1:4" s="495" customFormat="1" ht="12.75" customHeight="1">
      <c r="A132" s="502"/>
      <c r="B132" s="502"/>
      <c r="C132" s="503"/>
      <c r="D132" s="503"/>
    </row>
    <row r="133" spans="1:4" s="495" customFormat="1" ht="12.75" customHeight="1">
      <c r="A133" s="502"/>
      <c r="B133" s="502"/>
      <c r="C133" s="503"/>
      <c r="D133" s="503"/>
    </row>
    <row r="134" spans="1:4" s="495" customFormat="1" ht="12.75" customHeight="1">
      <c r="A134" s="502"/>
      <c r="B134" s="502"/>
      <c r="C134" s="503"/>
      <c r="D134" s="503"/>
    </row>
    <row r="135" spans="1:4" s="495" customFormat="1" ht="12.75" customHeight="1">
      <c r="A135" s="502"/>
      <c r="B135" s="502"/>
      <c r="C135" s="503"/>
      <c r="D135" s="503"/>
    </row>
    <row r="136" spans="1:4" s="495" customFormat="1" ht="12.75" customHeight="1">
      <c r="A136" s="502"/>
      <c r="B136" s="502"/>
      <c r="C136" s="503"/>
      <c r="D136" s="503"/>
    </row>
    <row r="137" spans="1:4" s="495" customFormat="1" ht="12.75" customHeight="1">
      <c r="A137" s="502"/>
      <c r="B137" s="502"/>
      <c r="C137" s="503"/>
      <c r="D137" s="503"/>
    </row>
    <row r="138" spans="1:4" s="495" customFormat="1" ht="12.75" customHeight="1">
      <c r="A138" s="502"/>
      <c r="B138" s="502"/>
      <c r="C138" s="503"/>
      <c r="D138" s="503"/>
    </row>
    <row r="139" spans="1:4" s="495" customFormat="1" ht="12.75" customHeight="1">
      <c r="A139" s="502"/>
      <c r="B139" s="502"/>
      <c r="C139" s="503"/>
      <c r="D139" s="503"/>
    </row>
    <row r="140" spans="1:4" s="495" customFormat="1" ht="12.75" customHeight="1">
      <c r="A140" s="502"/>
      <c r="B140" s="502"/>
      <c r="C140" s="503"/>
      <c r="D140" s="503"/>
    </row>
    <row r="141" spans="1:4" s="495" customFormat="1" ht="12.75" customHeight="1">
      <c r="A141" s="502"/>
      <c r="B141" s="502"/>
      <c r="C141" s="503"/>
      <c r="D141" s="503"/>
    </row>
    <row r="142" spans="1:4" s="495" customFormat="1" ht="12.75" customHeight="1">
      <c r="A142" s="502"/>
      <c r="B142" s="502"/>
      <c r="C142" s="503"/>
      <c r="D142" s="503"/>
    </row>
    <row r="143" spans="1:4" s="495" customFormat="1" ht="12.75" customHeight="1">
      <c r="A143" s="502"/>
      <c r="B143" s="502"/>
      <c r="C143" s="503"/>
      <c r="D143" s="503"/>
    </row>
    <row r="144" spans="1:4" s="495" customFormat="1" ht="12.75" customHeight="1">
      <c r="A144" s="502"/>
      <c r="B144" s="502"/>
      <c r="C144" s="503"/>
      <c r="D144" s="503"/>
    </row>
    <row r="145" spans="1:4" s="495" customFormat="1" ht="12.75" customHeight="1">
      <c r="A145" s="502"/>
      <c r="B145" s="502"/>
      <c r="C145" s="503"/>
      <c r="D145" s="503"/>
    </row>
    <row r="146" spans="1:4" s="495" customFormat="1" ht="12.75" customHeight="1">
      <c r="A146" s="502"/>
      <c r="B146" s="502"/>
      <c r="C146" s="503"/>
      <c r="D146" s="503"/>
    </row>
    <row r="147" spans="1:4" s="495" customFormat="1" ht="12.75" customHeight="1">
      <c r="A147" s="502"/>
      <c r="B147" s="502"/>
      <c r="C147" s="503"/>
      <c r="D147" s="503"/>
    </row>
    <row r="148" spans="1:4" s="495" customFormat="1" ht="12.75" customHeight="1">
      <c r="A148" s="502"/>
      <c r="B148" s="502"/>
      <c r="C148" s="503"/>
      <c r="D148" s="503"/>
    </row>
    <row r="149" spans="1:4" s="495" customFormat="1" ht="12.75" customHeight="1">
      <c r="A149" s="502"/>
      <c r="B149" s="502"/>
      <c r="C149" s="503"/>
      <c r="D149" s="503"/>
    </row>
    <row r="150" spans="1:4" s="495" customFormat="1" ht="12.75" customHeight="1">
      <c r="A150" s="502"/>
      <c r="B150" s="502"/>
      <c r="C150" s="503"/>
      <c r="D150" s="503"/>
    </row>
    <row r="151" spans="1:4" s="495" customFormat="1" ht="12.75" customHeight="1">
      <c r="A151" s="502"/>
      <c r="B151" s="502"/>
      <c r="C151" s="503"/>
      <c r="D151" s="503"/>
    </row>
    <row r="152" spans="1:4" s="495" customFormat="1" ht="12.75" customHeight="1">
      <c r="A152" s="502"/>
      <c r="B152" s="502"/>
      <c r="C152" s="503"/>
      <c r="D152" s="503"/>
    </row>
    <row r="153" spans="1:4" s="495" customFormat="1" ht="12.75" customHeight="1">
      <c r="A153" s="502"/>
      <c r="B153" s="502"/>
      <c r="C153" s="503"/>
      <c r="D153" s="503"/>
    </row>
    <row r="154" spans="1:4" s="495" customFormat="1" ht="12.75" customHeight="1">
      <c r="A154" s="502"/>
      <c r="B154" s="502"/>
      <c r="C154" s="503"/>
      <c r="D154" s="503"/>
    </row>
    <row r="155" spans="1:4" s="495" customFormat="1" ht="12.75" customHeight="1">
      <c r="A155" s="502"/>
      <c r="B155" s="502"/>
      <c r="C155" s="503"/>
      <c r="D155" s="503"/>
    </row>
    <row r="156" spans="1:4" s="495" customFormat="1" ht="12.75" customHeight="1">
      <c r="A156" s="502"/>
      <c r="B156" s="502"/>
      <c r="C156" s="503"/>
      <c r="D156" s="503"/>
    </row>
    <row r="157" spans="1:4" s="495" customFormat="1" ht="12.75" customHeight="1">
      <c r="A157" s="502"/>
      <c r="B157" s="502"/>
      <c r="C157" s="503"/>
      <c r="D157" s="503"/>
    </row>
    <row r="158" spans="1:4" s="495" customFormat="1" ht="12.75" customHeight="1">
      <c r="A158" s="502"/>
      <c r="B158" s="502"/>
      <c r="C158" s="503"/>
      <c r="D158" s="503"/>
    </row>
    <row r="159" spans="1:4" s="495" customFormat="1" ht="12.75" customHeight="1">
      <c r="A159" s="502"/>
      <c r="B159" s="502"/>
      <c r="C159" s="503"/>
      <c r="D159" s="503"/>
    </row>
    <row r="160" spans="1:4" s="495" customFormat="1" ht="12.75" customHeight="1">
      <c r="A160" s="502"/>
      <c r="B160" s="502"/>
      <c r="C160" s="503"/>
      <c r="D160" s="503"/>
    </row>
    <row r="161" spans="1:4" s="495" customFormat="1" ht="12.75" customHeight="1">
      <c r="A161" s="502"/>
      <c r="B161" s="502"/>
      <c r="C161" s="503"/>
      <c r="D161" s="503"/>
    </row>
    <row r="162" spans="1:4" s="495" customFormat="1" ht="12.75" customHeight="1">
      <c r="A162" s="502"/>
      <c r="B162" s="502"/>
      <c r="C162" s="503"/>
      <c r="D162" s="503"/>
    </row>
    <row r="163" spans="1:4" s="495" customFormat="1" ht="12.75" customHeight="1">
      <c r="A163" s="502"/>
      <c r="B163" s="502"/>
      <c r="C163" s="503"/>
      <c r="D163" s="503"/>
    </row>
    <row r="164" spans="1:4" s="495" customFormat="1" ht="12.75" customHeight="1">
      <c r="A164" s="502"/>
      <c r="B164" s="502"/>
      <c r="C164" s="503"/>
      <c r="D164" s="503"/>
    </row>
    <row r="165" spans="1:4" s="495" customFormat="1" ht="12.75" customHeight="1">
      <c r="A165" s="502"/>
      <c r="B165" s="502"/>
      <c r="C165" s="503"/>
      <c r="D165" s="503"/>
    </row>
    <row r="166" spans="1:4" s="495" customFormat="1" ht="12.75" customHeight="1">
      <c r="A166" s="502"/>
      <c r="B166" s="502"/>
      <c r="C166" s="503"/>
      <c r="D166" s="503"/>
    </row>
    <row r="167" spans="1:4" s="495" customFormat="1" ht="12.75" customHeight="1">
      <c r="A167" s="502"/>
      <c r="B167" s="502"/>
      <c r="C167" s="503"/>
      <c r="D167" s="503"/>
    </row>
    <row r="168" spans="1:4" s="495" customFormat="1" ht="12.75" customHeight="1">
      <c r="A168" s="502"/>
      <c r="B168" s="502"/>
      <c r="C168" s="503"/>
      <c r="D168" s="503"/>
    </row>
    <row r="169" spans="1:4" s="495" customFormat="1" ht="12.75" customHeight="1">
      <c r="A169" s="502"/>
      <c r="B169" s="502"/>
      <c r="C169" s="503"/>
      <c r="D169" s="503"/>
    </row>
    <row r="170" spans="1:4" s="495" customFormat="1" ht="12.75" customHeight="1">
      <c r="A170" s="502"/>
      <c r="B170" s="502"/>
      <c r="C170" s="503"/>
      <c r="D170" s="503"/>
    </row>
    <row r="171" spans="1:4" s="495" customFormat="1" ht="12.75" customHeight="1">
      <c r="A171" s="502"/>
      <c r="B171" s="502"/>
      <c r="C171" s="503"/>
      <c r="D171" s="503"/>
    </row>
    <row r="172" spans="1:4" s="495" customFormat="1" ht="12.75" customHeight="1">
      <c r="A172" s="502"/>
      <c r="B172" s="502"/>
      <c r="C172" s="503"/>
      <c r="D172" s="503"/>
    </row>
    <row r="173" spans="1:4" s="495" customFormat="1" ht="12.75" customHeight="1">
      <c r="A173" s="502"/>
      <c r="B173" s="502"/>
      <c r="C173" s="503"/>
      <c r="D173" s="503"/>
    </row>
    <row r="174" spans="1:4" s="495" customFormat="1" ht="12.75" customHeight="1">
      <c r="A174" s="502"/>
      <c r="B174" s="502"/>
      <c r="C174" s="503"/>
      <c r="D174" s="503"/>
    </row>
    <row r="175" spans="1:4" s="495" customFormat="1" ht="12.75" customHeight="1">
      <c r="A175" s="502"/>
      <c r="B175" s="502"/>
      <c r="C175" s="503"/>
      <c r="D175" s="503"/>
    </row>
    <row r="176" spans="1:4" s="495" customFormat="1" ht="12.75" customHeight="1">
      <c r="A176" s="502"/>
      <c r="B176" s="502"/>
      <c r="C176" s="503"/>
      <c r="D176" s="503"/>
    </row>
    <row r="177" spans="1:4" s="495" customFormat="1" ht="12.75" customHeight="1">
      <c r="A177" s="502"/>
      <c r="B177" s="502"/>
      <c r="C177" s="503"/>
      <c r="D177" s="503"/>
    </row>
    <row r="178" spans="1:2" s="495" customFormat="1" ht="12.75" customHeight="1">
      <c r="A178" s="502"/>
      <c r="B178" s="502"/>
    </row>
    <row r="179" spans="1:2" s="495" customFormat="1" ht="12.75" customHeight="1">
      <c r="A179" s="502"/>
      <c r="B179" s="502"/>
    </row>
    <row r="180" spans="1:2" s="495" customFormat="1" ht="12.75" customHeight="1">
      <c r="A180" s="502"/>
      <c r="B180" s="502"/>
    </row>
    <row r="181" spans="1:2" s="495" customFormat="1" ht="12.75" customHeight="1">
      <c r="A181" s="502"/>
      <c r="B181" s="502"/>
    </row>
    <row r="182" spans="1:2" s="495" customFormat="1" ht="12.75" customHeight="1">
      <c r="A182" s="502"/>
      <c r="B182" s="502"/>
    </row>
    <row r="183" spans="1:2" s="495" customFormat="1" ht="12.75" customHeight="1">
      <c r="A183" s="502"/>
      <c r="B183" s="502"/>
    </row>
    <row r="184" spans="1:2" s="495" customFormat="1" ht="12.75" customHeight="1">
      <c r="A184" s="502"/>
      <c r="B184" s="502"/>
    </row>
    <row r="185" spans="1:2" s="495" customFormat="1" ht="12.75" customHeight="1">
      <c r="A185" s="502"/>
      <c r="B185" s="502"/>
    </row>
    <row r="186" spans="1:2" s="495" customFormat="1" ht="12.75" customHeight="1">
      <c r="A186" s="502"/>
      <c r="B186" s="502"/>
    </row>
    <row r="187" spans="1:2" s="495" customFormat="1" ht="12.75" customHeight="1">
      <c r="A187" s="502"/>
      <c r="B187" s="502"/>
    </row>
    <row r="188" spans="1:2" s="495" customFormat="1" ht="12.75" customHeight="1">
      <c r="A188" s="502"/>
      <c r="B188" s="502"/>
    </row>
    <row r="189" spans="1:2" s="495" customFormat="1" ht="12.75" customHeight="1">
      <c r="A189" s="502"/>
      <c r="B189" s="502"/>
    </row>
    <row r="190" spans="1:2" s="495" customFormat="1" ht="12.75" customHeight="1">
      <c r="A190" s="502"/>
      <c r="B190" s="502"/>
    </row>
    <row r="191" spans="1:2" s="495" customFormat="1" ht="12.75" customHeight="1">
      <c r="A191" s="502"/>
      <c r="B191" s="502"/>
    </row>
    <row r="192" spans="1:2" s="495" customFormat="1" ht="12.75" customHeight="1">
      <c r="A192" s="502"/>
      <c r="B192" s="502"/>
    </row>
    <row r="193" spans="1:2" s="495" customFormat="1" ht="12.75" customHeight="1">
      <c r="A193" s="502"/>
      <c r="B193" s="502"/>
    </row>
    <row r="194" spans="1:2" s="495" customFormat="1" ht="12.75" customHeight="1">
      <c r="A194" s="502"/>
      <c r="B194" s="502"/>
    </row>
    <row r="195" spans="1:2" s="495" customFormat="1" ht="12.75" customHeight="1">
      <c r="A195" s="502"/>
      <c r="B195" s="502"/>
    </row>
    <row r="196" spans="1:2" s="495" customFormat="1" ht="12.75" customHeight="1">
      <c r="A196" s="502"/>
      <c r="B196" s="502"/>
    </row>
    <row r="197" spans="1:2" s="495" customFormat="1" ht="12.75" customHeight="1">
      <c r="A197" s="502"/>
      <c r="B197" s="502"/>
    </row>
    <row r="198" spans="1:2" s="495" customFormat="1" ht="12.75" customHeight="1">
      <c r="A198" s="502"/>
      <c r="B198" s="502"/>
    </row>
    <row r="199" spans="1:2" s="495" customFormat="1" ht="12.75" customHeight="1">
      <c r="A199" s="502"/>
      <c r="B199" s="502"/>
    </row>
    <row r="200" spans="1:2" s="495" customFormat="1" ht="12.75" customHeight="1">
      <c r="A200" s="502"/>
      <c r="B200" s="502"/>
    </row>
    <row r="201" spans="1:2" s="495" customFormat="1" ht="12.75" customHeight="1">
      <c r="A201" s="502"/>
      <c r="B201" s="502"/>
    </row>
    <row r="202" spans="1:2" s="495" customFormat="1" ht="12.75" customHeight="1">
      <c r="A202" s="502"/>
      <c r="B202" s="502"/>
    </row>
    <row r="203" spans="1:2" s="495" customFormat="1" ht="12.75" customHeight="1">
      <c r="A203" s="502"/>
      <c r="B203" s="502"/>
    </row>
    <row r="204" spans="1:2" s="495" customFormat="1" ht="12.75" customHeight="1">
      <c r="A204" s="502"/>
      <c r="B204" s="502"/>
    </row>
    <row r="205" spans="1:2" s="495" customFormat="1" ht="12.75" customHeight="1">
      <c r="A205" s="502"/>
      <c r="B205" s="502"/>
    </row>
    <row r="206" spans="1:2" s="495" customFormat="1" ht="12.75" customHeight="1">
      <c r="A206" s="502"/>
      <c r="B206" s="502"/>
    </row>
    <row r="207" spans="1:2" s="495" customFormat="1" ht="12.75" customHeight="1">
      <c r="A207" s="502"/>
      <c r="B207" s="502"/>
    </row>
    <row r="208" spans="1:2" s="495" customFormat="1" ht="12.75" customHeight="1">
      <c r="A208" s="502"/>
      <c r="B208" s="502"/>
    </row>
    <row r="209" spans="1:2" s="495" customFormat="1" ht="12.75" customHeight="1">
      <c r="A209" s="502"/>
      <c r="B209" s="502"/>
    </row>
    <row r="210" spans="1:2" s="495" customFormat="1" ht="12.75" customHeight="1">
      <c r="A210" s="502"/>
      <c r="B210" s="502"/>
    </row>
    <row r="211" spans="1:2" s="495" customFormat="1" ht="12.75" customHeight="1">
      <c r="A211" s="502"/>
      <c r="B211" s="502"/>
    </row>
    <row r="212" spans="1:2" s="495" customFormat="1" ht="12.75" customHeight="1">
      <c r="A212" s="502"/>
      <c r="B212" s="502"/>
    </row>
    <row r="213" spans="1:2" s="495" customFormat="1" ht="12.75" customHeight="1">
      <c r="A213" s="502"/>
      <c r="B213" s="502"/>
    </row>
    <row r="214" spans="1:2" s="495" customFormat="1" ht="12.75" customHeight="1">
      <c r="A214" s="502"/>
      <c r="B214" s="502"/>
    </row>
    <row r="215" spans="1:2" s="495" customFormat="1" ht="12.75" customHeight="1">
      <c r="A215" s="502"/>
      <c r="B215" s="502"/>
    </row>
    <row r="216" spans="1:2" s="495" customFormat="1" ht="12.75" customHeight="1">
      <c r="A216" s="502"/>
      <c r="B216" s="502"/>
    </row>
    <row r="217" spans="1:2" s="495" customFormat="1" ht="12.75" customHeight="1">
      <c r="A217" s="502"/>
      <c r="B217" s="502"/>
    </row>
    <row r="218" spans="1:2" s="495" customFormat="1" ht="12.75" customHeight="1">
      <c r="A218" s="502"/>
      <c r="B218" s="502"/>
    </row>
    <row r="219" spans="1:2" s="495" customFormat="1" ht="12.75" customHeight="1">
      <c r="A219" s="502"/>
      <c r="B219" s="502"/>
    </row>
    <row r="220" spans="1:2" s="495" customFormat="1" ht="12.75" customHeight="1">
      <c r="A220" s="502"/>
      <c r="B220" s="502"/>
    </row>
    <row r="221" spans="1:2" s="495" customFormat="1" ht="12.75" customHeight="1">
      <c r="A221" s="502"/>
      <c r="B221" s="502"/>
    </row>
    <row r="222" spans="1:2" s="495" customFormat="1" ht="12.75" customHeight="1">
      <c r="A222" s="502"/>
      <c r="B222" s="502"/>
    </row>
    <row r="223" spans="1:2" s="495" customFormat="1" ht="12.75" customHeight="1">
      <c r="A223" s="502"/>
      <c r="B223" s="502"/>
    </row>
    <row r="224" spans="1:2" s="495" customFormat="1" ht="12.75" customHeight="1">
      <c r="A224" s="502"/>
      <c r="B224" s="502"/>
    </row>
    <row r="225" spans="1:2" s="495" customFormat="1" ht="12.75" customHeight="1">
      <c r="A225" s="502"/>
      <c r="B225" s="502"/>
    </row>
    <row r="226" spans="1:2" s="495" customFormat="1" ht="12.75" customHeight="1">
      <c r="A226" s="502"/>
      <c r="B226" s="502"/>
    </row>
    <row r="227" spans="1:2" s="495" customFormat="1" ht="12.75" customHeight="1">
      <c r="A227" s="502"/>
      <c r="B227" s="502"/>
    </row>
    <row r="228" spans="1:2" s="495" customFormat="1" ht="12.75" customHeight="1">
      <c r="A228" s="502"/>
      <c r="B228" s="502"/>
    </row>
    <row r="229" spans="1:2" s="495" customFormat="1" ht="12.75" customHeight="1">
      <c r="A229" s="502"/>
      <c r="B229" s="502"/>
    </row>
    <row r="230" spans="1:2" s="495" customFormat="1" ht="12.75" customHeight="1">
      <c r="A230" s="502"/>
      <c r="B230" s="502"/>
    </row>
    <row r="231" spans="1:2" s="495" customFormat="1" ht="12.75" customHeight="1">
      <c r="A231" s="502"/>
      <c r="B231" s="502"/>
    </row>
    <row r="232" spans="1:2" s="495" customFormat="1" ht="12.75" customHeight="1">
      <c r="A232" s="502"/>
      <c r="B232" s="502"/>
    </row>
    <row r="233" spans="1:2" s="495" customFormat="1" ht="12.75" customHeight="1">
      <c r="A233" s="502"/>
      <c r="B233" s="502"/>
    </row>
    <row r="234" spans="1:2" s="495" customFormat="1" ht="12.75" customHeight="1">
      <c r="A234" s="502"/>
      <c r="B234" s="502"/>
    </row>
    <row r="235" spans="1:2" s="495" customFormat="1" ht="12.75" customHeight="1">
      <c r="A235" s="502"/>
      <c r="B235" s="502"/>
    </row>
    <row r="236" spans="1:2" s="495" customFormat="1" ht="12.75" customHeight="1">
      <c r="A236" s="502"/>
      <c r="B236" s="502"/>
    </row>
    <row r="237" spans="1:2" s="495" customFormat="1" ht="12.75" customHeight="1">
      <c r="A237" s="502"/>
      <c r="B237" s="502"/>
    </row>
    <row r="238" spans="1:2" s="495" customFormat="1" ht="12.75" customHeight="1">
      <c r="A238" s="502"/>
      <c r="B238" s="502"/>
    </row>
    <row r="239" spans="1:2" s="495" customFormat="1" ht="12.75" customHeight="1">
      <c r="A239" s="502"/>
      <c r="B239" s="502"/>
    </row>
    <row r="240" spans="1:2" s="495" customFormat="1" ht="12.75" customHeight="1">
      <c r="A240" s="502"/>
      <c r="B240" s="502"/>
    </row>
    <row r="241" spans="1:2" s="495" customFormat="1" ht="12.75" customHeight="1">
      <c r="A241" s="502"/>
      <c r="B241" s="502"/>
    </row>
    <row r="242" spans="1:2" s="495" customFormat="1" ht="12.75" customHeight="1">
      <c r="A242" s="502"/>
      <c r="B242" s="502"/>
    </row>
    <row r="243" spans="1:2" s="495" customFormat="1" ht="12.75" customHeight="1">
      <c r="A243" s="502"/>
      <c r="B243" s="502"/>
    </row>
    <row r="244" spans="1:2" s="495" customFormat="1" ht="12.75" customHeight="1">
      <c r="A244" s="502"/>
      <c r="B244" s="502"/>
    </row>
    <row r="245" spans="1:2" s="495" customFormat="1" ht="12.75" customHeight="1">
      <c r="A245" s="502"/>
      <c r="B245" s="502"/>
    </row>
    <row r="246" spans="1:2" s="495" customFormat="1" ht="12.75" customHeight="1">
      <c r="A246" s="502"/>
      <c r="B246" s="502"/>
    </row>
    <row r="247" spans="1:2" s="495" customFormat="1" ht="12.75" customHeight="1">
      <c r="A247" s="502"/>
      <c r="B247" s="502"/>
    </row>
    <row r="248" spans="1:2" s="495" customFormat="1" ht="12.75" customHeight="1">
      <c r="A248" s="502"/>
      <c r="B248" s="502"/>
    </row>
    <row r="249" spans="1:2" s="495" customFormat="1" ht="12.75" customHeight="1">
      <c r="A249" s="502"/>
      <c r="B249" s="502"/>
    </row>
    <row r="250" spans="1:2" s="495" customFormat="1" ht="12.75" customHeight="1">
      <c r="A250" s="502"/>
      <c r="B250" s="502"/>
    </row>
    <row r="251" spans="1:2" s="495" customFormat="1" ht="12.75" customHeight="1">
      <c r="A251" s="502"/>
      <c r="B251" s="502"/>
    </row>
    <row r="252" spans="1:2" s="495" customFormat="1" ht="12.75" customHeight="1">
      <c r="A252" s="502"/>
      <c r="B252" s="502"/>
    </row>
    <row r="253" spans="1:2" s="495" customFormat="1" ht="12.75" customHeight="1">
      <c r="A253" s="502"/>
      <c r="B253" s="502"/>
    </row>
    <row r="254" spans="1:2" s="495" customFormat="1" ht="12.75" customHeight="1">
      <c r="A254" s="502"/>
      <c r="B254" s="502"/>
    </row>
    <row r="255" spans="1:2" s="495" customFormat="1" ht="12.75" customHeight="1">
      <c r="A255" s="502"/>
      <c r="B255" s="502"/>
    </row>
    <row r="256" spans="1:2" s="495" customFormat="1" ht="12.75" customHeight="1">
      <c r="A256" s="502"/>
      <c r="B256" s="502"/>
    </row>
    <row r="257" spans="1:2" s="495" customFormat="1" ht="12.75" customHeight="1">
      <c r="A257" s="502"/>
      <c r="B257" s="502"/>
    </row>
    <row r="258" spans="1:2" s="495" customFormat="1" ht="12.75" customHeight="1">
      <c r="A258" s="502"/>
      <c r="B258" s="502"/>
    </row>
    <row r="259" spans="1:2" s="495" customFormat="1" ht="12.75" customHeight="1">
      <c r="A259" s="502"/>
      <c r="B259" s="502"/>
    </row>
    <row r="260" spans="1:2" s="495" customFormat="1" ht="12.75" customHeight="1">
      <c r="A260" s="502"/>
      <c r="B260" s="502"/>
    </row>
    <row r="261" spans="1:2" s="495" customFormat="1" ht="12.75" customHeight="1">
      <c r="A261" s="502"/>
      <c r="B261" s="502"/>
    </row>
    <row r="262" spans="1:2" s="495" customFormat="1" ht="12.75" customHeight="1">
      <c r="A262" s="502"/>
      <c r="B262" s="502"/>
    </row>
    <row r="263" spans="1:2" s="495" customFormat="1" ht="12.75" customHeight="1">
      <c r="A263" s="502"/>
      <c r="B263" s="502"/>
    </row>
    <row r="264" spans="1:2" s="495" customFormat="1" ht="12.75" customHeight="1">
      <c r="A264" s="502"/>
      <c r="B264" s="502"/>
    </row>
    <row r="265" spans="1:2" s="495" customFormat="1" ht="12.75" customHeight="1">
      <c r="A265" s="502"/>
      <c r="B265" s="502"/>
    </row>
    <row r="266" spans="1:2" s="495" customFormat="1" ht="12.75" customHeight="1">
      <c r="A266" s="502"/>
      <c r="B266" s="502"/>
    </row>
    <row r="267" spans="1:2" s="495" customFormat="1" ht="12.75" customHeight="1">
      <c r="A267" s="502"/>
      <c r="B267" s="502"/>
    </row>
    <row r="268" spans="1:2" s="495" customFormat="1" ht="12.75" customHeight="1">
      <c r="A268" s="502"/>
      <c r="B268" s="502"/>
    </row>
    <row r="269" spans="1:2" s="495" customFormat="1" ht="12.75" customHeight="1">
      <c r="A269" s="502"/>
      <c r="B269" s="502"/>
    </row>
    <row r="270" spans="1:2" s="495" customFormat="1" ht="12.75" customHeight="1">
      <c r="A270" s="502"/>
      <c r="B270" s="502"/>
    </row>
    <row r="271" spans="1:2" s="495" customFormat="1" ht="12.75" customHeight="1">
      <c r="A271" s="502"/>
      <c r="B271" s="502"/>
    </row>
    <row r="272" spans="1:2" s="495" customFormat="1" ht="12.75" customHeight="1">
      <c r="A272" s="502"/>
      <c r="B272" s="502"/>
    </row>
    <row r="273" spans="1:2" s="495" customFormat="1" ht="12.75" customHeight="1">
      <c r="A273" s="502"/>
      <c r="B273" s="502"/>
    </row>
    <row r="274" spans="1:2" s="495" customFormat="1" ht="12.75" customHeight="1">
      <c r="A274" s="502"/>
      <c r="B274" s="502"/>
    </row>
    <row r="275" spans="1:2" s="495" customFormat="1" ht="12.75" customHeight="1">
      <c r="A275" s="502"/>
      <c r="B275" s="502"/>
    </row>
    <row r="276" spans="1:2" s="495" customFormat="1" ht="12.75" customHeight="1">
      <c r="A276" s="502"/>
      <c r="B276" s="502"/>
    </row>
    <row r="277" spans="1:2" s="495" customFormat="1" ht="12.75" customHeight="1">
      <c r="A277" s="502"/>
      <c r="B277" s="502"/>
    </row>
    <row r="278" spans="1:2" s="495" customFormat="1" ht="12.75" customHeight="1">
      <c r="A278" s="502"/>
      <c r="B278" s="502"/>
    </row>
    <row r="279" spans="1:2" s="495" customFormat="1" ht="12.75" customHeight="1">
      <c r="A279" s="502"/>
      <c r="B279" s="502"/>
    </row>
    <row r="280" spans="1:2" s="495" customFormat="1" ht="12.75" customHeight="1">
      <c r="A280" s="502"/>
      <c r="B280" s="502"/>
    </row>
    <row r="281" spans="1:2" s="495" customFormat="1" ht="12.75" customHeight="1">
      <c r="A281" s="502"/>
      <c r="B281" s="502"/>
    </row>
    <row r="282" spans="1:2" s="495" customFormat="1" ht="12.75" customHeight="1">
      <c r="A282" s="502"/>
      <c r="B282" s="502"/>
    </row>
    <row r="283" spans="1:2" s="495" customFormat="1" ht="12.75" customHeight="1">
      <c r="A283" s="502"/>
      <c r="B283" s="502"/>
    </row>
    <row r="284" spans="1:2" s="495" customFormat="1" ht="12.75" customHeight="1">
      <c r="A284" s="502"/>
      <c r="B284" s="502"/>
    </row>
    <row r="285" spans="1:2" s="495" customFormat="1" ht="12.75" customHeight="1">
      <c r="A285" s="502"/>
      <c r="B285" s="502"/>
    </row>
    <row r="286" spans="1:2" s="495" customFormat="1" ht="12.75" customHeight="1">
      <c r="A286" s="502"/>
      <c r="B286" s="502"/>
    </row>
    <row r="287" spans="1:2" s="495" customFormat="1" ht="12.75" customHeight="1">
      <c r="A287" s="502"/>
      <c r="B287" s="502"/>
    </row>
    <row r="288" spans="1:2" s="495" customFormat="1" ht="12.75" customHeight="1">
      <c r="A288" s="502"/>
      <c r="B288" s="502"/>
    </row>
    <row r="289" spans="1:2" s="495" customFormat="1" ht="12.75" customHeight="1">
      <c r="A289" s="502"/>
      <c r="B289" s="502"/>
    </row>
    <row r="290" spans="1:2" s="495" customFormat="1" ht="12.75" customHeight="1">
      <c r="A290" s="502"/>
      <c r="B290" s="502"/>
    </row>
    <row r="291" spans="1:2" s="495" customFormat="1" ht="12.75" customHeight="1">
      <c r="A291" s="502"/>
      <c r="B291" s="502"/>
    </row>
    <row r="292" spans="1:2" s="495" customFormat="1" ht="12.75" customHeight="1">
      <c r="A292" s="502"/>
      <c r="B292" s="502"/>
    </row>
    <row r="293" spans="1:2" s="495" customFormat="1" ht="12.75" customHeight="1">
      <c r="A293" s="502"/>
      <c r="B293" s="502"/>
    </row>
    <row r="294" spans="1:2" s="495" customFormat="1" ht="12.75" customHeight="1">
      <c r="A294" s="502"/>
      <c r="B294" s="502"/>
    </row>
    <row r="295" spans="1:2" s="495" customFormat="1" ht="12.75" customHeight="1">
      <c r="A295" s="502"/>
      <c r="B295" s="502"/>
    </row>
    <row r="296" spans="1:2" s="495" customFormat="1" ht="12.75" customHeight="1">
      <c r="A296" s="502"/>
      <c r="B296" s="502"/>
    </row>
    <row r="297" spans="1:2" s="495" customFormat="1" ht="12.75" customHeight="1">
      <c r="A297" s="502"/>
      <c r="B297" s="502"/>
    </row>
    <row r="298" spans="1:2" s="495" customFormat="1" ht="12.75" customHeight="1">
      <c r="A298" s="502"/>
      <c r="B298" s="502"/>
    </row>
    <row r="299" spans="1:2" s="495" customFormat="1" ht="12.75" customHeight="1">
      <c r="A299" s="502"/>
      <c r="B299" s="502"/>
    </row>
    <row r="300" spans="1:2" s="495" customFormat="1" ht="12.75" customHeight="1">
      <c r="A300" s="502"/>
      <c r="B300" s="502"/>
    </row>
    <row r="301" spans="1:2" s="495" customFormat="1" ht="12.75" customHeight="1">
      <c r="A301" s="502"/>
      <c r="B301" s="502"/>
    </row>
    <row r="302" spans="1:2" s="495" customFormat="1" ht="12.75" customHeight="1">
      <c r="A302" s="502"/>
      <c r="B302" s="502"/>
    </row>
    <row r="303" spans="1:2" s="495" customFormat="1" ht="12.75" customHeight="1">
      <c r="A303" s="502"/>
      <c r="B303" s="502"/>
    </row>
    <row r="304" spans="1:2" s="495" customFormat="1" ht="12.75" customHeight="1">
      <c r="A304" s="502"/>
      <c r="B304" s="502"/>
    </row>
    <row r="305" spans="1:2" s="495" customFormat="1" ht="12.75" customHeight="1">
      <c r="A305" s="502"/>
      <c r="B305" s="502"/>
    </row>
    <row r="306" spans="1:2" s="495" customFormat="1" ht="12.75" customHeight="1">
      <c r="A306" s="502"/>
      <c r="B306" s="502"/>
    </row>
    <row r="307" spans="1:2" s="495" customFormat="1" ht="12.75" customHeight="1">
      <c r="A307" s="502"/>
      <c r="B307" s="502"/>
    </row>
    <row r="308" spans="1:2" s="495" customFormat="1" ht="12.75" customHeight="1">
      <c r="A308" s="502"/>
      <c r="B308" s="502"/>
    </row>
    <row r="309" spans="1:2" s="495" customFormat="1" ht="12.75" customHeight="1">
      <c r="A309" s="502"/>
      <c r="B309" s="502"/>
    </row>
    <row r="310" spans="1:2" s="495" customFormat="1" ht="12.75" customHeight="1">
      <c r="A310" s="502"/>
      <c r="B310" s="502"/>
    </row>
    <row r="311" spans="1:2" s="495" customFormat="1" ht="12.75" customHeight="1">
      <c r="A311" s="502"/>
      <c r="B311" s="502"/>
    </row>
    <row r="312" spans="1:2" s="495" customFormat="1" ht="12.75" customHeight="1">
      <c r="A312" s="502"/>
      <c r="B312" s="502"/>
    </row>
    <row r="313" spans="1:2" s="495" customFormat="1" ht="12.75" customHeight="1">
      <c r="A313" s="502"/>
      <c r="B313" s="502"/>
    </row>
    <row r="314" spans="1:2" s="495" customFormat="1" ht="12.75" customHeight="1">
      <c r="A314" s="502"/>
      <c r="B314" s="502"/>
    </row>
    <row r="315" spans="1:2" s="495" customFormat="1" ht="12.75" customHeight="1">
      <c r="A315" s="502"/>
      <c r="B315" s="502"/>
    </row>
    <row r="316" spans="1:2" s="495" customFormat="1" ht="12.75" customHeight="1">
      <c r="A316" s="502"/>
      <c r="B316" s="502"/>
    </row>
    <row r="317" spans="1:2" s="495" customFormat="1" ht="12.75" customHeight="1">
      <c r="A317" s="502"/>
      <c r="B317" s="502"/>
    </row>
    <row r="318" spans="1:2" s="495" customFormat="1" ht="12.75" customHeight="1">
      <c r="A318" s="502"/>
      <c r="B318" s="502"/>
    </row>
    <row r="319" spans="1:2" s="495" customFormat="1" ht="12.75" customHeight="1">
      <c r="A319" s="502"/>
      <c r="B319" s="502"/>
    </row>
    <row r="320" spans="1:2" s="495" customFormat="1" ht="12.75" customHeight="1">
      <c r="A320" s="502"/>
      <c r="B320" s="502"/>
    </row>
    <row r="321" spans="1:2" s="495" customFormat="1" ht="12.75" customHeight="1">
      <c r="A321" s="502"/>
      <c r="B321" s="502"/>
    </row>
    <row r="322" spans="1:2" s="495" customFormat="1" ht="12.75" customHeight="1">
      <c r="A322" s="502"/>
      <c r="B322" s="502"/>
    </row>
    <row r="323" spans="1:2" s="495" customFormat="1" ht="12.75" customHeight="1">
      <c r="A323" s="502"/>
      <c r="B323" s="502"/>
    </row>
    <row r="324" spans="1:2" s="495" customFormat="1" ht="12.75" customHeight="1">
      <c r="A324" s="502"/>
      <c r="B324" s="502"/>
    </row>
    <row r="325" spans="1:2" s="495" customFormat="1" ht="12.75" customHeight="1">
      <c r="A325" s="502"/>
      <c r="B325" s="502"/>
    </row>
    <row r="326" spans="1:2" s="495" customFormat="1" ht="12.75" customHeight="1">
      <c r="A326" s="502"/>
      <c r="B326" s="502"/>
    </row>
    <row r="327" spans="1:2" s="495" customFormat="1" ht="12.75" customHeight="1">
      <c r="A327" s="502"/>
      <c r="B327" s="502"/>
    </row>
    <row r="328" spans="1:2" s="495" customFormat="1" ht="12.75" customHeight="1">
      <c r="A328" s="502"/>
      <c r="B328" s="502"/>
    </row>
    <row r="329" spans="1:2" s="495" customFormat="1" ht="12.75" customHeight="1">
      <c r="A329" s="502"/>
      <c r="B329" s="502"/>
    </row>
    <row r="330" spans="1:2" s="495" customFormat="1" ht="12.75" customHeight="1">
      <c r="A330" s="502"/>
      <c r="B330" s="502"/>
    </row>
    <row r="331" spans="1:2" s="495" customFormat="1" ht="12.75" customHeight="1">
      <c r="A331" s="502"/>
      <c r="B331" s="502"/>
    </row>
    <row r="332" spans="1:2" s="495" customFormat="1" ht="12.75" customHeight="1">
      <c r="A332" s="502"/>
      <c r="B332" s="502"/>
    </row>
    <row r="333" spans="1:2" s="495" customFormat="1" ht="12.75" customHeight="1">
      <c r="A333" s="502"/>
      <c r="B333" s="502"/>
    </row>
    <row r="334" spans="1:2" s="495" customFormat="1" ht="12.75" customHeight="1">
      <c r="A334" s="502"/>
      <c r="B334" s="502"/>
    </row>
    <row r="335" spans="1:2" s="495" customFormat="1" ht="12.75" customHeight="1">
      <c r="A335" s="502"/>
      <c r="B335" s="502"/>
    </row>
    <row r="336" spans="1:2" s="495" customFormat="1" ht="12.75" customHeight="1">
      <c r="A336" s="502"/>
      <c r="B336" s="502"/>
    </row>
    <row r="337" spans="1:2" s="495" customFormat="1" ht="12.75" customHeight="1">
      <c r="A337" s="502"/>
      <c r="B337" s="502"/>
    </row>
    <row r="338" spans="1:2" s="495" customFormat="1" ht="12.75" customHeight="1">
      <c r="A338" s="502"/>
      <c r="B338" s="502"/>
    </row>
    <row r="339" spans="1:2" s="495" customFormat="1" ht="12.75" customHeight="1">
      <c r="A339" s="502"/>
      <c r="B339" s="502"/>
    </row>
    <row r="340" spans="1:2" s="495" customFormat="1" ht="12.75" customHeight="1">
      <c r="A340" s="502"/>
      <c r="B340" s="502"/>
    </row>
    <row r="341" spans="1:2" s="495" customFormat="1" ht="12.75" customHeight="1">
      <c r="A341" s="502"/>
      <c r="B341" s="502"/>
    </row>
    <row r="342" spans="1:2" s="495" customFormat="1" ht="12.75" customHeight="1">
      <c r="A342" s="502"/>
      <c r="B342" s="502"/>
    </row>
    <row r="343" spans="1:2" s="495" customFormat="1" ht="12.75" customHeight="1">
      <c r="A343" s="502"/>
      <c r="B343" s="502"/>
    </row>
    <row r="344" spans="1:2" s="495" customFormat="1" ht="12.75" customHeight="1">
      <c r="A344" s="502"/>
      <c r="B344" s="502"/>
    </row>
    <row r="345" spans="1:2" s="495" customFormat="1" ht="12.75" customHeight="1">
      <c r="A345" s="502"/>
      <c r="B345" s="502"/>
    </row>
    <row r="346" spans="1:2" s="495" customFormat="1" ht="12.75" customHeight="1">
      <c r="A346" s="502"/>
      <c r="B346" s="502"/>
    </row>
    <row r="347" spans="1:2" s="495" customFormat="1" ht="12.75" customHeight="1">
      <c r="A347" s="502"/>
      <c r="B347" s="502"/>
    </row>
    <row r="348" spans="1:2" s="495" customFormat="1" ht="12.75" customHeight="1">
      <c r="A348" s="502"/>
      <c r="B348" s="502"/>
    </row>
    <row r="349" spans="1:2" s="495" customFormat="1" ht="12.75" customHeight="1">
      <c r="A349" s="502"/>
      <c r="B349" s="502"/>
    </row>
    <row r="350" spans="1:2" s="495" customFormat="1" ht="12.75" customHeight="1">
      <c r="A350" s="502"/>
      <c r="B350" s="502"/>
    </row>
    <row r="351" spans="1:2" s="495" customFormat="1" ht="12.75" customHeight="1">
      <c r="A351" s="502"/>
      <c r="B351" s="502"/>
    </row>
    <row r="352" spans="1:2" s="495" customFormat="1" ht="12.75" customHeight="1">
      <c r="A352" s="502"/>
      <c r="B352" s="502"/>
    </row>
    <row r="353" spans="1:2" s="495" customFormat="1" ht="12.75" customHeight="1">
      <c r="A353" s="502"/>
      <c r="B353" s="502"/>
    </row>
    <row r="354" spans="1:2" s="495" customFormat="1" ht="12.75" customHeight="1">
      <c r="A354" s="502"/>
      <c r="B354" s="502"/>
    </row>
    <row r="355" spans="1:2" s="495" customFormat="1" ht="12.75" customHeight="1">
      <c r="A355" s="502"/>
      <c r="B355" s="502"/>
    </row>
    <row r="356" spans="1:2" s="495" customFormat="1" ht="12.75" customHeight="1">
      <c r="A356" s="502"/>
      <c r="B356" s="502"/>
    </row>
    <row r="357" spans="1:2" s="495" customFormat="1" ht="12.75" customHeight="1">
      <c r="A357" s="502"/>
      <c r="B357" s="502"/>
    </row>
    <row r="358" spans="1:2" s="495" customFormat="1" ht="12.75" customHeight="1">
      <c r="A358" s="502"/>
      <c r="B358" s="502"/>
    </row>
    <row r="359" spans="1:2" s="495" customFormat="1" ht="12.75" customHeight="1">
      <c r="A359" s="502"/>
      <c r="B359" s="502"/>
    </row>
    <row r="360" spans="1:2" s="495" customFormat="1" ht="12.75" customHeight="1">
      <c r="A360" s="502"/>
      <c r="B360" s="502"/>
    </row>
    <row r="361" spans="1:2" s="495" customFormat="1" ht="12.75" customHeight="1">
      <c r="A361" s="502"/>
      <c r="B361" s="502"/>
    </row>
    <row r="362" spans="1:2" s="495" customFormat="1" ht="12.75" customHeight="1">
      <c r="A362" s="502"/>
      <c r="B362" s="502"/>
    </row>
    <row r="363" spans="1:2" s="495" customFormat="1" ht="12.75" customHeight="1">
      <c r="A363" s="502"/>
      <c r="B363" s="502"/>
    </row>
    <row r="364" spans="1:2" s="495" customFormat="1" ht="12.75" customHeight="1">
      <c r="A364" s="502"/>
      <c r="B364" s="502"/>
    </row>
    <row r="365" spans="1:2" s="495" customFormat="1" ht="12.75" customHeight="1">
      <c r="A365" s="502"/>
      <c r="B365" s="502"/>
    </row>
    <row r="366" spans="1:2" s="495" customFormat="1" ht="12.75" customHeight="1">
      <c r="A366" s="502"/>
      <c r="B366" s="502"/>
    </row>
    <row r="367" spans="1:2" s="495" customFormat="1" ht="12.75" customHeight="1">
      <c r="A367" s="502"/>
      <c r="B367" s="502"/>
    </row>
    <row r="368" spans="1:2" s="495" customFormat="1" ht="12.75" customHeight="1">
      <c r="A368" s="502"/>
      <c r="B368" s="502"/>
    </row>
    <row r="369" spans="1:2" s="495" customFormat="1" ht="12.75" customHeight="1">
      <c r="A369" s="502"/>
      <c r="B369" s="502"/>
    </row>
    <row r="370" spans="1:2" s="495" customFormat="1" ht="12.75" customHeight="1">
      <c r="A370" s="502"/>
      <c r="B370" s="502"/>
    </row>
    <row r="371" spans="1:2" s="495" customFormat="1" ht="12.75" customHeight="1">
      <c r="A371" s="502"/>
      <c r="B371" s="502"/>
    </row>
    <row r="372" spans="1:2" s="495" customFormat="1" ht="12.75" customHeight="1">
      <c r="A372" s="502"/>
      <c r="B372" s="502"/>
    </row>
    <row r="373" spans="1:2" s="495" customFormat="1" ht="12.75" customHeight="1">
      <c r="A373" s="502"/>
      <c r="B373" s="502"/>
    </row>
    <row r="374" spans="1:2" s="495" customFormat="1" ht="12.75" customHeight="1">
      <c r="A374" s="502"/>
      <c r="B374" s="502"/>
    </row>
    <row r="375" spans="1:2" s="495" customFormat="1" ht="12.75" customHeight="1">
      <c r="A375" s="502"/>
      <c r="B375" s="502"/>
    </row>
    <row r="376" spans="1:2" s="495" customFormat="1" ht="12.75" customHeight="1">
      <c r="A376" s="502"/>
      <c r="B376" s="502"/>
    </row>
    <row r="377" spans="1:2" s="495" customFormat="1" ht="12.75" customHeight="1">
      <c r="A377" s="502"/>
      <c r="B377" s="502"/>
    </row>
    <row r="378" spans="1:2" s="495" customFormat="1" ht="12.75" customHeight="1">
      <c r="A378" s="502"/>
      <c r="B378" s="502"/>
    </row>
    <row r="379" spans="1:2" s="495" customFormat="1" ht="12.75" customHeight="1">
      <c r="A379" s="502"/>
      <c r="B379" s="502"/>
    </row>
    <row r="380" spans="1:2" s="495" customFormat="1" ht="12.75" customHeight="1">
      <c r="A380" s="502"/>
      <c r="B380" s="502"/>
    </row>
    <row r="381" spans="1:2" s="495" customFormat="1" ht="12.75" customHeight="1">
      <c r="A381" s="502"/>
      <c r="B381" s="502"/>
    </row>
    <row r="382" spans="1:2" s="495" customFormat="1" ht="12.75" customHeight="1">
      <c r="A382" s="502"/>
      <c r="B382" s="502"/>
    </row>
    <row r="383" spans="1:2" s="495" customFormat="1" ht="12.75" customHeight="1">
      <c r="A383" s="502"/>
      <c r="B383" s="502"/>
    </row>
    <row r="384" spans="1:2" s="495" customFormat="1" ht="12.75" customHeight="1">
      <c r="A384" s="502"/>
      <c r="B384" s="502"/>
    </row>
    <row r="385" spans="1:2" s="495" customFormat="1" ht="12.75" customHeight="1">
      <c r="A385" s="502"/>
      <c r="B385" s="502"/>
    </row>
    <row r="386" spans="1:2" s="495" customFormat="1" ht="12.75" customHeight="1">
      <c r="A386" s="502"/>
      <c r="B386" s="502"/>
    </row>
    <row r="387" spans="1:2" s="495" customFormat="1" ht="12.75" customHeight="1">
      <c r="A387" s="502"/>
      <c r="B387" s="502"/>
    </row>
    <row r="388" spans="1:2" s="495" customFormat="1" ht="12.75" customHeight="1">
      <c r="A388" s="502"/>
      <c r="B388" s="502"/>
    </row>
    <row r="389" spans="1:2" s="495" customFormat="1" ht="12.75" customHeight="1">
      <c r="A389" s="502"/>
      <c r="B389" s="502"/>
    </row>
    <row r="390" spans="1:2" s="495" customFormat="1" ht="12.75" customHeight="1">
      <c r="A390" s="502"/>
      <c r="B390" s="502"/>
    </row>
    <row r="391" spans="1:2" s="495" customFormat="1" ht="12.75" customHeight="1">
      <c r="A391" s="502"/>
      <c r="B391" s="502"/>
    </row>
    <row r="392" spans="1:2" s="495" customFormat="1" ht="12.75" customHeight="1">
      <c r="A392" s="502"/>
      <c r="B392" s="502"/>
    </row>
    <row r="393" spans="1:2" s="495" customFormat="1" ht="12.75" customHeight="1">
      <c r="A393" s="502"/>
      <c r="B393" s="502"/>
    </row>
    <row r="394" spans="1:2" s="495" customFormat="1" ht="12.75" customHeight="1">
      <c r="A394" s="502"/>
      <c r="B394" s="502"/>
    </row>
    <row r="395" spans="1:2" s="495" customFormat="1" ht="12.75" customHeight="1">
      <c r="A395" s="502"/>
      <c r="B395" s="502"/>
    </row>
    <row r="396" spans="1:2" s="495" customFormat="1" ht="12.75" customHeight="1">
      <c r="A396" s="502"/>
      <c r="B396" s="502"/>
    </row>
    <row r="397" spans="1:2" s="495" customFormat="1" ht="12.75" customHeight="1">
      <c r="A397" s="502"/>
      <c r="B397" s="502"/>
    </row>
    <row r="398" spans="1:2" s="495" customFormat="1" ht="12.75" customHeight="1">
      <c r="A398" s="502"/>
      <c r="B398" s="502"/>
    </row>
    <row r="399" spans="1:2" s="495" customFormat="1" ht="12.75" customHeight="1">
      <c r="A399" s="502"/>
      <c r="B399" s="502"/>
    </row>
    <row r="400" spans="1:2" s="495" customFormat="1" ht="12.75" customHeight="1">
      <c r="A400" s="502"/>
      <c r="B400" s="502"/>
    </row>
    <row r="401" spans="1:2" s="495" customFormat="1" ht="12.75" customHeight="1">
      <c r="A401" s="502"/>
      <c r="B401" s="502"/>
    </row>
    <row r="402" spans="1:2" s="495" customFormat="1" ht="12.75" customHeight="1">
      <c r="A402" s="502"/>
      <c r="B402" s="502"/>
    </row>
    <row r="403" spans="1:2" s="495" customFormat="1" ht="12.75" customHeight="1">
      <c r="A403" s="502"/>
      <c r="B403" s="502"/>
    </row>
    <row r="404" spans="1:2" s="495" customFormat="1" ht="12.75" customHeight="1">
      <c r="A404" s="502"/>
      <c r="B404" s="502"/>
    </row>
    <row r="405" spans="1:2" s="495" customFormat="1" ht="12.75" customHeight="1">
      <c r="A405" s="502"/>
      <c r="B405" s="502"/>
    </row>
    <row r="406" spans="1:2" s="495" customFormat="1" ht="12.75" customHeight="1">
      <c r="A406" s="502"/>
      <c r="B406" s="502"/>
    </row>
    <row r="407" spans="1:2" s="495" customFormat="1" ht="12.75" customHeight="1">
      <c r="A407" s="502"/>
      <c r="B407" s="502"/>
    </row>
    <row r="408" spans="1:2" s="495" customFormat="1" ht="12.75" customHeight="1">
      <c r="A408" s="502"/>
      <c r="B408" s="502"/>
    </row>
    <row r="409" spans="1:2" s="495" customFormat="1" ht="12.75" customHeight="1">
      <c r="A409" s="502"/>
      <c r="B409" s="502"/>
    </row>
    <row r="410" spans="1:2" s="495" customFormat="1" ht="12.75" customHeight="1">
      <c r="A410" s="502"/>
      <c r="B410" s="502"/>
    </row>
    <row r="411" spans="1:2" s="495" customFormat="1" ht="12.75" customHeight="1">
      <c r="A411" s="502"/>
      <c r="B411" s="502"/>
    </row>
    <row r="412" spans="1:2" s="495" customFormat="1" ht="12.75" customHeight="1">
      <c r="A412" s="502"/>
      <c r="B412" s="502"/>
    </row>
    <row r="413" spans="1:2" s="495" customFormat="1" ht="12.75" customHeight="1">
      <c r="A413" s="502"/>
      <c r="B413" s="502"/>
    </row>
    <row r="414" spans="1:2" s="495" customFormat="1" ht="12.75" customHeight="1">
      <c r="A414" s="502"/>
      <c r="B414" s="502"/>
    </row>
    <row r="415" spans="1:2" s="495" customFormat="1" ht="12.75" customHeight="1">
      <c r="A415" s="502"/>
      <c r="B415" s="502"/>
    </row>
    <row r="416" spans="1:2" s="495" customFormat="1" ht="12.75" customHeight="1">
      <c r="A416" s="502"/>
      <c r="B416" s="502"/>
    </row>
    <row r="417" spans="1:2" s="495" customFormat="1" ht="12.75" customHeight="1">
      <c r="A417" s="502"/>
      <c r="B417" s="502"/>
    </row>
    <row r="418" spans="1:2" s="495" customFormat="1" ht="12.75" customHeight="1">
      <c r="A418" s="502"/>
      <c r="B418" s="502"/>
    </row>
    <row r="419" spans="1:2" s="495" customFormat="1" ht="12.75" customHeight="1">
      <c r="A419" s="502"/>
      <c r="B419" s="502"/>
    </row>
    <row r="420" spans="1:2" s="495" customFormat="1" ht="12.75" customHeight="1">
      <c r="A420" s="502"/>
      <c r="B420" s="502"/>
    </row>
    <row r="421" spans="1:2" s="495" customFormat="1" ht="12.75" customHeight="1">
      <c r="A421" s="502"/>
      <c r="B421" s="502"/>
    </row>
    <row r="422" spans="1:2" s="495" customFormat="1" ht="12.75" customHeight="1">
      <c r="A422" s="502"/>
      <c r="B422" s="502"/>
    </row>
    <row r="423" spans="1:2" s="495" customFormat="1" ht="12.75" customHeight="1">
      <c r="A423" s="502"/>
      <c r="B423" s="502"/>
    </row>
    <row r="424" spans="1:2" s="495" customFormat="1" ht="12.75" customHeight="1">
      <c r="A424" s="502"/>
      <c r="B424" s="502"/>
    </row>
    <row r="425" spans="1:2" s="495" customFormat="1" ht="12.75" customHeight="1">
      <c r="A425" s="502"/>
      <c r="B425" s="502"/>
    </row>
    <row r="426" spans="1:2" s="495" customFormat="1" ht="12.75" customHeight="1">
      <c r="A426" s="502"/>
      <c r="B426" s="502"/>
    </row>
    <row r="427" spans="1:2" s="495" customFormat="1" ht="12.75" customHeight="1">
      <c r="A427" s="502"/>
      <c r="B427" s="502"/>
    </row>
    <row r="428" spans="1:2" s="495" customFormat="1" ht="12.75" customHeight="1">
      <c r="A428" s="502"/>
      <c r="B428" s="502"/>
    </row>
    <row r="429" spans="1:2" s="495" customFormat="1" ht="12.75" customHeight="1">
      <c r="A429" s="502"/>
      <c r="B429" s="502"/>
    </row>
    <row r="430" spans="1:2" s="495" customFormat="1" ht="12.75" customHeight="1">
      <c r="A430" s="502"/>
      <c r="B430" s="502"/>
    </row>
    <row r="431" spans="1:2" s="495" customFormat="1" ht="12.75" customHeight="1">
      <c r="A431" s="502"/>
      <c r="B431" s="502"/>
    </row>
    <row r="432" spans="1:2" s="495" customFormat="1" ht="12.75" customHeight="1">
      <c r="A432" s="502"/>
      <c r="B432" s="502"/>
    </row>
    <row r="433" spans="1:2" s="495" customFormat="1" ht="12.75" customHeight="1">
      <c r="A433" s="502"/>
      <c r="B433" s="502"/>
    </row>
    <row r="434" spans="1:2" s="495" customFormat="1" ht="12.75" customHeight="1">
      <c r="A434" s="502"/>
      <c r="B434" s="502"/>
    </row>
    <row r="435" spans="1:2" s="495" customFormat="1" ht="12.75" customHeight="1">
      <c r="A435" s="502"/>
      <c r="B435" s="502"/>
    </row>
    <row r="436" spans="1:2" s="495" customFormat="1" ht="12.75" customHeight="1">
      <c r="A436" s="502"/>
      <c r="B436" s="502"/>
    </row>
    <row r="437" spans="1:2" s="495" customFormat="1" ht="12.75" customHeight="1">
      <c r="A437" s="502"/>
      <c r="B437" s="502"/>
    </row>
    <row r="438" spans="1:2" s="495" customFormat="1" ht="12.75" customHeight="1">
      <c r="A438" s="502"/>
      <c r="B438" s="502"/>
    </row>
    <row r="439" spans="1:2" s="495" customFormat="1" ht="12.75" customHeight="1">
      <c r="A439" s="502"/>
      <c r="B439" s="502"/>
    </row>
    <row r="440" spans="1:2" s="495" customFormat="1" ht="12.75" customHeight="1">
      <c r="A440" s="502"/>
      <c r="B440" s="502"/>
    </row>
    <row r="441" spans="1:2" s="495" customFormat="1" ht="12.75" customHeight="1">
      <c r="A441" s="502"/>
      <c r="B441" s="502"/>
    </row>
    <row r="442" spans="1:2" s="495" customFormat="1" ht="12.75" customHeight="1">
      <c r="A442" s="502"/>
      <c r="B442" s="502"/>
    </row>
    <row r="443" spans="1:2" s="495" customFormat="1" ht="12.75" customHeight="1">
      <c r="A443" s="502"/>
      <c r="B443" s="502"/>
    </row>
    <row r="444" spans="1:2" s="495" customFormat="1" ht="12.75" customHeight="1">
      <c r="A444" s="502"/>
      <c r="B444" s="502"/>
    </row>
    <row r="445" spans="1:2" s="495" customFormat="1" ht="12.75" customHeight="1">
      <c r="A445" s="502"/>
      <c r="B445" s="502"/>
    </row>
    <row r="446" spans="1:2" s="495" customFormat="1" ht="12.75" customHeight="1">
      <c r="A446" s="502"/>
      <c r="B446" s="502"/>
    </row>
    <row r="447" spans="1:2" s="495" customFormat="1" ht="12.75" customHeight="1">
      <c r="A447" s="502"/>
      <c r="B447" s="502"/>
    </row>
    <row r="448" spans="1:2" s="495" customFormat="1" ht="12.75" customHeight="1">
      <c r="A448" s="502"/>
      <c r="B448" s="502"/>
    </row>
    <row r="449" spans="1:2" s="495" customFormat="1" ht="12.75" customHeight="1">
      <c r="A449" s="502"/>
      <c r="B449" s="502"/>
    </row>
    <row r="450" spans="1:2" s="495" customFormat="1" ht="12.75" customHeight="1">
      <c r="A450" s="502"/>
      <c r="B450" s="502"/>
    </row>
    <row r="451" spans="1:2" s="495" customFormat="1" ht="12.75" customHeight="1">
      <c r="A451" s="502"/>
      <c r="B451" s="502"/>
    </row>
    <row r="452" spans="1:2" s="495" customFormat="1" ht="12.75" customHeight="1">
      <c r="A452" s="502"/>
      <c r="B452" s="502"/>
    </row>
    <row r="453" spans="1:2" s="495" customFormat="1" ht="12.75" customHeight="1">
      <c r="A453" s="502"/>
      <c r="B453" s="502"/>
    </row>
    <row r="454" spans="1:2" s="495" customFormat="1" ht="12.75" customHeight="1">
      <c r="A454" s="502"/>
      <c r="B454" s="502"/>
    </row>
    <row r="455" spans="1:2" s="495" customFormat="1" ht="12.75" customHeight="1">
      <c r="A455" s="502"/>
      <c r="B455" s="502"/>
    </row>
    <row r="456" spans="1:2" s="495" customFormat="1" ht="12.75" customHeight="1">
      <c r="A456" s="502"/>
      <c r="B456" s="502"/>
    </row>
    <row r="457" spans="1:2" s="495" customFormat="1" ht="12.75" customHeight="1">
      <c r="A457" s="502"/>
      <c r="B457" s="502"/>
    </row>
    <row r="458" spans="1:2" s="495" customFormat="1" ht="12.75" customHeight="1">
      <c r="A458" s="502"/>
      <c r="B458" s="502"/>
    </row>
    <row r="459" spans="1:2" s="495" customFormat="1" ht="12.75" customHeight="1">
      <c r="A459" s="502"/>
      <c r="B459" s="502"/>
    </row>
    <row r="460" spans="1:2" s="495" customFormat="1" ht="12.75" customHeight="1">
      <c r="A460" s="502"/>
      <c r="B460" s="502"/>
    </row>
    <row r="461" spans="1:2" s="495" customFormat="1" ht="12.75" customHeight="1">
      <c r="A461" s="502"/>
      <c r="B461" s="502"/>
    </row>
    <row r="462" spans="1:2" s="495" customFormat="1" ht="12.75" customHeight="1">
      <c r="A462" s="502"/>
      <c r="B462" s="502"/>
    </row>
    <row r="463" spans="1:2" s="495" customFormat="1" ht="12.75" customHeight="1">
      <c r="A463" s="502"/>
      <c r="B463" s="502"/>
    </row>
    <row r="464" spans="1:2" s="495" customFormat="1" ht="12.75" customHeight="1">
      <c r="A464" s="502"/>
      <c r="B464" s="502"/>
    </row>
    <row r="465" spans="1:2" s="495" customFormat="1" ht="12.75" customHeight="1">
      <c r="A465" s="502"/>
      <c r="B465" s="502"/>
    </row>
    <row r="466" spans="1:2" s="495" customFormat="1" ht="12.75" customHeight="1">
      <c r="A466" s="502"/>
      <c r="B466" s="502"/>
    </row>
    <row r="467" spans="1:2" s="495" customFormat="1" ht="12.75" customHeight="1">
      <c r="A467" s="502"/>
      <c r="B467" s="502"/>
    </row>
    <row r="468" spans="1:2" s="495" customFormat="1" ht="12.75" customHeight="1">
      <c r="A468" s="502"/>
      <c r="B468" s="502"/>
    </row>
    <row r="469" spans="1:2" s="495" customFormat="1" ht="12.75" customHeight="1">
      <c r="A469" s="502"/>
      <c r="B469" s="502"/>
    </row>
    <row r="470" spans="1:2" s="495" customFormat="1" ht="12.75" customHeight="1">
      <c r="A470" s="502"/>
      <c r="B470" s="502"/>
    </row>
    <row r="471" spans="1:2" s="495" customFormat="1" ht="12.75" customHeight="1">
      <c r="A471" s="502"/>
      <c r="B471" s="502"/>
    </row>
    <row r="472" spans="1:2" s="495" customFormat="1" ht="12.75" customHeight="1">
      <c r="A472" s="502"/>
      <c r="B472" s="502"/>
    </row>
    <row r="473" spans="1:2" s="495" customFormat="1" ht="12.75" customHeight="1">
      <c r="A473" s="502"/>
      <c r="B473" s="502"/>
    </row>
    <row r="474" spans="1:2" s="495" customFormat="1" ht="12.75" customHeight="1">
      <c r="A474" s="502"/>
      <c r="B474" s="502"/>
    </row>
    <row r="475" spans="1:2" s="495" customFormat="1" ht="12.75" customHeight="1">
      <c r="A475" s="502"/>
      <c r="B475" s="502"/>
    </row>
    <row r="476" spans="1:2" s="495" customFormat="1" ht="12.75" customHeight="1">
      <c r="A476" s="502"/>
      <c r="B476" s="502"/>
    </row>
    <row r="477" spans="1:2" s="495" customFormat="1" ht="12.75" customHeight="1">
      <c r="A477" s="502"/>
      <c r="B477" s="502"/>
    </row>
    <row r="478" spans="1:2" s="495" customFormat="1" ht="12.75" customHeight="1">
      <c r="A478" s="502"/>
      <c r="B478" s="502"/>
    </row>
    <row r="479" spans="1:2" s="495" customFormat="1" ht="12.75" customHeight="1">
      <c r="A479" s="502"/>
      <c r="B479" s="502"/>
    </row>
    <row r="480" spans="1:2" s="495" customFormat="1" ht="12.75" customHeight="1">
      <c r="A480" s="502"/>
      <c r="B480" s="502"/>
    </row>
    <row r="481" spans="1:2" s="495" customFormat="1" ht="12.75" customHeight="1">
      <c r="A481" s="502"/>
      <c r="B481" s="502"/>
    </row>
    <row r="482" spans="1:2" s="495" customFormat="1" ht="12.75" customHeight="1">
      <c r="A482" s="502"/>
      <c r="B482" s="502"/>
    </row>
    <row r="483" spans="1:2" s="495" customFormat="1" ht="12.75" customHeight="1">
      <c r="A483" s="502"/>
      <c r="B483" s="502"/>
    </row>
    <row r="484" spans="1:2" s="495" customFormat="1" ht="12.75" customHeight="1">
      <c r="A484" s="502"/>
      <c r="B484" s="502"/>
    </row>
    <row r="485" spans="1:2" s="495" customFormat="1" ht="12.75" customHeight="1">
      <c r="A485" s="502"/>
      <c r="B485" s="502"/>
    </row>
    <row r="486" spans="1:2" s="495" customFormat="1" ht="12.75" customHeight="1">
      <c r="A486" s="502"/>
      <c r="B486" s="502"/>
    </row>
    <row r="487" spans="1:2" s="495" customFormat="1" ht="12.75" customHeight="1">
      <c r="A487" s="502"/>
      <c r="B487" s="502"/>
    </row>
    <row r="488" spans="1:2" s="495" customFormat="1" ht="12.75" customHeight="1">
      <c r="A488" s="502"/>
      <c r="B488" s="502"/>
    </row>
    <row r="489" spans="1:2" s="495" customFormat="1" ht="12.75" customHeight="1">
      <c r="A489" s="502"/>
      <c r="B489" s="502"/>
    </row>
    <row r="490" spans="1:2" s="495" customFormat="1" ht="12.75" customHeight="1">
      <c r="A490" s="502"/>
      <c r="B490" s="502"/>
    </row>
    <row r="491" spans="1:2" s="495" customFormat="1" ht="12.75" customHeight="1">
      <c r="A491" s="502"/>
      <c r="B491" s="502"/>
    </row>
    <row r="492" spans="1:2" s="495" customFormat="1" ht="12.75" customHeight="1">
      <c r="A492" s="502"/>
      <c r="B492" s="502"/>
    </row>
    <row r="493" spans="1:2" s="495" customFormat="1" ht="12.75" customHeight="1">
      <c r="A493" s="502"/>
      <c r="B493" s="502"/>
    </row>
    <row r="494" spans="1:2" s="495" customFormat="1" ht="12.75" customHeight="1">
      <c r="A494" s="502"/>
      <c r="B494" s="502"/>
    </row>
    <row r="495" spans="1:2" s="495" customFormat="1" ht="12.75" customHeight="1">
      <c r="A495" s="502"/>
      <c r="B495" s="502"/>
    </row>
    <row r="496" spans="1:2" s="495" customFormat="1" ht="12.75" customHeight="1">
      <c r="A496" s="502"/>
      <c r="B496" s="502"/>
    </row>
    <row r="497" spans="1:2" s="495" customFormat="1" ht="12.75" customHeight="1">
      <c r="A497" s="502"/>
      <c r="B497" s="502"/>
    </row>
    <row r="498" spans="1:2" s="495" customFormat="1" ht="12.75" customHeight="1">
      <c r="A498" s="502"/>
      <c r="B498" s="502"/>
    </row>
    <row r="499" spans="1:2" s="495" customFormat="1" ht="12.75" customHeight="1">
      <c r="A499" s="502"/>
      <c r="B499" s="502"/>
    </row>
    <row r="500" spans="1:2" s="495" customFormat="1" ht="12.75" customHeight="1">
      <c r="A500" s="502"/>
      <c r="B500" s="502"/>
    </row>
    <row r="501" spans="1:2" s="495" customFormat="1" ht="12.75" customHeight="1">
      <c r="A501" s="502"/>
      <c r="B501" s="502"/>
    </row>
    <row r="502" spans="1:2" s="495" customFormat="1" ht="12.75" customHeight="1">
      <c r="A502" s="502"/>
      <c r="B502" s="502"/>
    </row>
    <row r="503" spans="1:2" s="495" customFormat="1" ht="12.75" customHeight="1">
      <c r="A503" s="502"/>
      <c r="B503" s="502"/>
    </row>
    <row r="504" spans="1:2" s="495" customFormat="1" ht="12.75" customHeight="1">
      <c r="A504" s="502"/>
      <c r="B504" s="502"/>
    </row>
    <row r="505" spans="1:2" s="495" customFormat="1" ht="12.75" customHeight="1">
      <c r="A505" s="502"/>
      <c r="B505" s="502"/>
    </row>
    <row r="506" spans="1:2" s="495" customFormat="1" ht="12.75" customHeight="1">
      <c r="A506" s="502"/>
      <c r="B506" s="502"/>
    </row>
    <row r="507" spans="1:2" s="495" customFormat="1" ht="12.75" customHeight="1">
      <c r="A507" s="502"/>
      <c r="B507" s="502"/>
    </row>
    <row r="508" spans="1:2" s="495" customFormat="1" ht="12.75" customHeight="1">
      <c r="A508" s="502"/>
      <c r="B508" s="502"/>
    </row>
    <row r="509" spans="1:2" s="495" customFormat="1" ht="12.75" customHeight="1">
      <c r="A509" s="502"/>
      <c r="B509" s="502"/>
    </row>
    <row r="510" spans="1:2" s="495" customFormat="1" ht="12.75" customHeight="1">
      <c r="A510" s="502"/>
      <c r="B510" s="502"/>
    </row>
    <row r="511" spans="1:2" s="495" customFormat="1" ht="12.75" customHeight="1">
      <c r="A511" s="502"/>
      <c r="B511" s="502"/>
    </row>
    <row r="512" spans="1:2" s="495" customFormat="1" ht="12.75" customHeight="1">
      <c r="A512" s="502"/>
      <c r="B512" s="502"/>
    </row>
    <row r="513" spans="1:2" s="495" customFormat="1" ht="12.75" customHeight="1">
      <c r="A513" s="502"/>
      <c r="B513" s="502"/>
    </row>
    <row r="514" spans="1:2" s="495" customFormat="1" ht="12.75" customHeight="1">
      <c r="A514" s="502"/>
      <c r="B514" s="502"/>
    </row>
    <row r="515" spans="1:2" s="495" customFormat="1" ht="12.75" customHeight="1">
      <c r="A515" s="502"/>
      <c r="B515" s="502"/>
    </row>
    <row r="516" spans="1:2" s="495" customFormat="1" ht="12.75" customHeight="1">
      <c r="A516" s="502"/>
      <c r="B516" s="502"/>
    </row>
    <row r="517" spans="1:2" s="495" customFormat="1" ht="12.75" customHeight="1">
      <c r="A517" s="502"/>
      <c r="B517" s="502"/>
    </row>
    <row r="518" spans="1:2" s="495" customFormat="1" ht="12.75" customHeight="1">
      <c r="A518" s="502"/>
      <c r="B518" s="502"/>
    </row>
    <row r="519" spans="1:2" s="495" customFormat="1" ht="12.75" customHeight="1">
      <c r="A519" s="502"/>
      <c r="B519" s="502"/>
    </row>
    <row r="520" spans="1:2" s="495" customFormat="1" ht="12.75" customHeight="1">
      <c r="A520" s="502"/>
      <c r="B520" s="502"/>
    </row>
    <row r="521" spans="1:2" s="495" customFormat="1" ht="12.75" customHeight="1">
      <c r="A521" s="502"/>
      <c r="B521" s="502"/>
    </row>
    <row r="522" spans="1:2" s="495" customFormat="1" ht="12.75" customHeight="1">
      <c r="A522" s="502"/>
      <c r="B522" s="502"/>
    </row>
    <row r="523" spans="1:2" s="495" customFormat="1" ht="12.75" customHeight="1">
      <c r="A523" s="502"/>
      <c r="B523" s="502"/>
    </row>
    <row r="524" spans="1:2" s="495" customFormat="1" ht="12.75" customHeight="1">
      <c r="A524" s="502"/>
      <c r="B524" s="502"/>
    </row>
    <row r="525" spans="1:2" s="495" customFormat="1" ht="12.75" customHeight="1">
      <c r="A525" s="502"/>
      <c r="B525" s="502"/>
    </row>
    <row r="526" spans="1:2" s="495" customFormat="1" ht="12.75" customHeight="1">
      <c r="A526" s="502"/>
      <c r="B526" s="502"/>
    </row>
    <row r="527" spans="1:2" s="495" customFormat="1" ht="12.75" customHeight="1">
      <c r="A527" s="502"/>
      <c r="B527" s="502"/>
    </row>
    <row r="528" spans="1:2" s="495" customFormat="1" ht="12.75" customHeight="1">
      <c r="A528" s="502"/>
      <c r="B528" s="502"/>
    </row>
    <row r="529" spans="1:2" s="495" customFormat="1" ht="12.75" customHeight="1">
      <c r="A529" s="502"/>
      <c r="B529" s="502"/>
    </row>
    <row r="530" spans="1:2" s="495" customFormat="1" ht="12.75" customHeight="1">
      <c r="A530" s="502"/>
      <c r="B530" s="502"/>
    </row>
    <row r="531" spans="1:2" s="495" customFormat="1" ht="12.75" customHeight="1">
      <c r="A531" s="502"/>
      <c r="B531" s="502"/>
    </row>
    <row r="532" spans="1:2" s="495" customFormat="1" ht="12.75" customHeight="1">
      <c r="A532" s="502"/>
      <c r="B532" s="502"/>
    </row>
    <row r="533" spans="1:2" s="495" customFormat="1" ht="12.75" customHeight="1">
      <c r="A533" s="502"/>
      <c r="B533" s="502"/>
    </row>
    <row r="534" spans="1:2" s="495" customFormat="1" ht="12.75" customHeight="1">
      <c r="A534" s="502"/>
      <c r="B534" s="502"/>
    </row>
    <row r="535" spans="1:2" s="495" customFormat="1" ht="12.75" customHeight="1">
      <c r="A535" s="502"/>
      <c r="B535" s="502"/>
    </row>
    <row r="536" spans="1:2" s="495" customFormat="1" ht="12.75" customHeight="1">
      <c r="A536" s="502"/>
      <c r="B536" s="502"/>
    </row>
    <row r="537" spans="1:2" s="495" customFormat="1" ht="12.75" customHeight="1">
      <c r="A537" s="502"/>
      <c r="B537" s="502"/>
    </row>
    <row r="538" spans="1:2" s="495" customFormat="1" ht="12.75" customHeight="1">
      <c r="A538" s="502"/>
      <c r="B538" s="502"/>
    </row>
    <row r="539" spans="1:2" s="495" customFormat="1" ht="12.75" customHeight="1">
      <c r="A539" s="502"/>
      <c r="B539" s="502"/>
    </row>
    <row r="540" spans="1:2" s="495" customFormat="1" ht="12.75" customHeight="1">
      <c r="A540" s="502"/>
      <c r="B540" s="502"/>
    </row>
    <row r="541" spans="1:2" s="495" customFormat="1" ht="12.75" customHeight="1">
      <c r="A541" s="502"/>
      <c r="B541" s="502"/>
    </row>
    <row r="542" spans="1:2" s="495" customFormat="1" ht="12.75" customHeight="1">
      <c r="A542" s="502"/>
      <c r="B542" s="502"/>
    </row>
    <row r="543" spans="1:2" s="495" customFormat="1" ht="12.75" customHeight="1">
      <c r="A543" s="502"/>
      <c r="B543" s="502"/>
    </row>
    <row r="544" spans="1:2" s="495" customFormat="1" ht="12.75" customHeight="1">
      <c r="A544" s="502"/>
      <c r="B544" s="502"/>
    </row>
    <row r="545" spans="1:2" s="495" customFormat="1" ht="12.75" customHeight="1">
      <c r="A545" s="502"/>
      <c r="B545" s="502"/>
    </row>
    <row r="546" spans="1:2" s="495" customFormat="1" ht="12.75" customHeight="1">
      <c r="A546" s="502"/>
      <c r="B546" s="502"/>
    </row>
    <row r="547" spans="1:2" s="495" customFormat="1" ht="12.75" customHeight="1">
      <c r="A547" s="502"/>
      <c r="B547" s="502"/>
    </row>
    <row r="548" spans="1:2" s="495" customFormat="1" ht="12.75" customHeight="1">
      <c r="A548" s="502"/>
      <c r="B548" s="502"/>
    </row>
    <row r="549" spans="1:2" s="495" customFormat="1" ht="12.75" customHeight="1">
      <c r="A549" s="502"/>
      <c r="B549" s="502"/>
    </row>
    <row r="550" spans="1:2" s="495" customFormat="1" ht="12.75" customHeight="1">
      <c r="A550" s="502"/>
      <c r="B550" s="502"/>
    </row>
    <row r="551" spans="1:2" s="495" customFormat="1" ht="12.75" customHeight="1">
      <c r="A551" s="502"/>
      <c r="B551" s="502"/>
    </row>
    <row r="552" spans="1:2" s="495" customFormat="1" ht="12.75" customHeight="1">
      <c r="A552" s="502"/>
      <c r="B552" s="502"/>
    </row>
    <row r="553" spans="1:2" s="495" customFormat="1" ht="12.75" customHeight="1">
      <c r="A553" s="502"/>
      <c r="B553" s="502"/>
    </row>
    <row r="554" spans="1:2" s="495" customFormat="1" ht="12.75" customHeight="1">
      <c r="A554" s="502"/>
      <c r="B554" s="502"/>
    </row>
    <row r="555" spans="1:2" s="495" customFormat="1" ht="12.75" customHeight="1">
      <c r="A555" s="502"/>
      <c r="B555" s="502"/>
    </row>
    <row r="556" spans="1:2" s="495" customFormat="1" ht="12.75" customHeight="1">
      <c r="A556" s="502"/>
      <c r="B556" s="502"/>
    </row>
    <row r="557" spans="1:2" s="495" customFormat="1" ht="12.75" customHeight="1">
      <c r="A557" s="502"/>
      <c r="B557" s="502"/>
    </row>
    <row r="558" spans="1:2" s="495" customFormat="1" ht="12.75" customHeight="1">
      <c r="A558" s="502"/>
      <c r="B558" s="502"/>
    </row>
    <row r="559" spans="1:2" s="495" customFormat="1" ht="12.75" customHeight="1">
      <c r="A559" s="502"/>
      <c r="B559" s="502"/>
    </row>
    <row r="560" spans="1:2" s="495" customFormat="1" ht="12.75" customHeight="1">
      <c r="A560" s="502"/>
      <c r="B560" s="502"/>
    </row>
    <row r="561" spans="1:2" s="495" customFormat="1" ht="12.75" customHeight="1">
      <c r="A561" s="502"/>
      <c r="B561" s="502"/>
    </row>
    <row r="562" spans="1:2" s="495" customFormat="1" ht="12.75" customHeight="1">
      <c r="A562" s="502"/>
      <c r="B562" s="502"/>
    </row>
    <row r="563" spans="1:2" s="495" customFormat="1" ht="12.75" customHeight="1">
      <c r="A563" s="502"/>
      <c r="B563" s="502"/>
    </row>
    <row r="564" spans="1:2" s="495" customFormat="1" ht="12.75" customHeight="1">
      <c r="A564" s="502"/>
      <c r="B564" s="502"/>
    </row>
    <row r="565" spans="1:2" s="495" customFormat="1" ht="12.75" customHeight="1">
      <c r="A565" s="502"/>
      <c r="B565" s="502"/>
    </row>
    <row r="566" spans="1:2" s="495" customFormat="1" ht="12.75" customHeight="1">
      <c r="A566" s="502"/>
      <c r="B566" s="502"/>
    </row>
    <row r="567" spans="1:2" s="495" customFormat="1" ht="12.75" customHeight="1">
      <c r="A567" s="502"/>
      <c r="B567" s="502"/>
    </row>
    <row r="568" spans="1:2" s="495" customFormat="1" ht="12.75" customHeight="1">
      <c r="A568" s="502"/>
      <c r="B568" s="502"/>
    </row>
    <row r="569" spans="1:2" s="495" customFormat="1" ht="12.75" customHeight="1">
      <c r="A569" s="502"/>
      <c r="B569" s="502"/>
    </row>
    <row r="570" spans="1:2" s="495" customFormat="1" ht="12.75" customHeight="1">
      <c r="A570" s="502"/>
      <c r="B570" s="502"/>
    </row>
    <row r="571" spans="1:2" s="495" customFormat="1" ht="12.75" customHeight="1">
      <c r="A571" s="502"/>
      <c r="B571" s="502"/>
    </row>
    <row r="572" spans="1:2" s="495" customFormat="1" ht="12.75" customHeight="1">
      <c r="A572" s="502"/>
      <c r="B572" s="502"/>
    </row>
    <row r="573" spans="1:2" s="495" customFormat="1" ht="12.75" customHeight="1">
      <c r="A573" s="502"/>
      <c r="B573" s="502"/>
    </row>
    <row r="574" spans="1:2" s="495" customFormat="1" ht="12.75" customHeight="1">
      <c r="A574" s="502"/>
      <c r="B574" s="502"/>
    </row>
    <row r="575" spans="1:2" s="495" customFormat="1" ht="12.75" customHeight="1">
      <c r="A575" s="502"/>
      <c r="B575" s="502"/>
    </row>
    <row r="576" spans="1:2" s="495" customFormat="1" ht="12.75" customHeight="1">
      <c r="A576" s="502"/>
      <c r="B576" s="502"/>
    </row>
    <row r="577" spans="1:2" s="495" customFormat="1" ht="12.75" customHeight="1">
      <c r="A577" s="502"/>
      <c r="B577" s="502"/>
    </row>
    <row r="578" spans="1:2" s="495" customFormat="1" ht="12.75" customHeight="1">
      <c r="A578" s="502"/>
      <c r="B578" s="502"/>
    </row>
    <row r="579" spans="1:2" s="495" customFormat="1" ht="12.75" customHeight="1">
      <c r="A579" s="502"/>
      <c r="B579" s="502"/>
    </row>
    <row r="580" spans="1:2" s="495" customFormat="1" ht="12.75" customHeight="1">
      <c r="A580" s="502"/>
      <c r="B580" s="502"/>
    </row>
    <row r="581" spans="1:2" s="495" customFormat="1" ht="12.75" customHeight="1">
      <c r="A581" s="502"/>
      <c r="B581" s="502"/>
    </row>
    <row r="582" spans="1:2" s="495" customFormat="1" ht="12.75" customHeight="1">
      <c r="A582" s="502"/>
      <c r="B582" s="502"/>
    </row>
    <row r="583" spans="1:2" s="495" customFormat="1" ht="12.75" customHeight="1">
      <c r="A583" s="502"/>
      <c r="B583" s="502"/>
    </row>
    <row r="584" spans="1:2" s="495" customFormat="1" ht="12.75" customHeight="1">
      <c r="A584" s="502"/>
      <c r="B584" s="502"/>
    </row>
    <row r="585" spans="1:2" s="495" customFormat="1" ht="12.75" customHeight="1">
      <c r="A585" s="502"/>
      <c r="B585" s="502"/>
    </row>
    <row r="586" spans="1:2" s="495" customFormat="1" ht="12.75" customHeight="1">
      <c r="A586" s="502"/>
      <c r="B586" s="502"/>
    </row>
    <row r="587" spans="1:2" s="495" customFormat="1" ht="12.75" customHeight="1">
      <c r="A587" s="502"/>
      <c r="B587" s="502"/>
    </row>
    <row r="588" spans="1:2" s="495" customFormat="1" ht="12.75" customHeight="1">
      <c r="A588" s="502"/>
      <c r="B588" s="502"/>
    </row>
    <row r="589" spans="1:2" s="495" customFormat="1" ht="12.75" customHeight="1">
      <c r="A589" s="502"/>
      <c r="B589" s="502"/>
    </row>
    <row r="590" spans="1:2" s="495" customFormat="1" ht="12.75" customHeight="1">
      <c r="A590" s="502"/>
      <c r="B590" s="502"/>
    </row>
    <row r="591" spans="1:2" s="495" customFormat="1" ht="12.75" customHeight="1">
      <c r="A591" s="502"/>
      <c r="B591" s="502"/>
    </row>
    <row r="592" spans="1:2" s="495" customFormat="1" ht="12.75" customHeight="1">
      <c r="A592" s="502"/>
      <c r="B592" s="502"/>
    </row>
    <row r="593" spans="1:2" s="495" customFormat="1" ht="12.75" customHeight="1">
      <c r="A593" s="502"/>
      <c r="B593" s="502"/>
    </row>
    <row r="594" spans="1:2" s="495" customFormat="1" ht="12.75" customHeight="1">
      <c r="A594" s="502"/>
      <c r="B594" s="502"/>
    </row>
    <row r="595" spans="1:2" s="495" customFormat="1" ht="12.75" customHeight="1">
      <c r="A595" s="502"/>
      <c r="B595" s="502"/>
    </row>
    <row r="596" spans="1:2" s="495" customFormat="1" ht="12.75" customHeight="1">
      <c r="A596" s="502"/>
      <c r="B596" s="502"/>
    </row>
    <row r="597" spans="1:2" s="495" customFormat="1" ht="12.75" customHeight="1">
      <c r="A597" s="502"/>
      <c r="B597" s="502"/>
    </row>
    <row r="598" spans="1:2" s="495" customFormat="1" ht="12.75" customHeight="1">
      <c r="A598" s="502"/>
      <c r="B598" s="502"/>
    </row>
    <row r="599" spans="1:2" s="495" customFormat="1" ht="12.75" customHeight="1">
      <c r="A599" s="502"/>
      <c r="B599" s="502"/>
    </row>
    <row r="600" spans="1:2" s="495" customFormat="1" ht="12.75" customHeight="1">
      <c r="A600" s="502"/>
      <c r="B600" s="502"/>
    </row>
    <row r="601" spans="1:2" s="495" customFormat="1" ht="12.75" customHeight="1">
      <c r="A601" s="502"/>
      <c r="B601" s="502"/>
    </row>
    <row r="602" spans="1:2" s="495" customFormat="1" ht="12.75" customHeight="1">
      <c r="A602" s="502"/>
      <c r="B602" s="502"/>
    </row>
    <row r="603" spans="1:2" s="495" customFormat="1" ht="12.75" customHeight="1">
      <c r="A603" s="502"/>
      <c r="B603" s="502"/>
    </row>
    <row r="604" spans="1:2" s="495" customFormat="1" ht="12.75" customHeight="1">
      <c r="A604" s="502"/>
      <c r="B604" s="502"/>
    </row>
    <row r="605" spans="1:2" s="495" customFormat="1" ht="12.75" customHeight="1">
      <c r="A605" s="502"/>
      <c r="B605" s="502"/>
    </row>
    <row r="606" spans="1:2" s="495" customFormat="1" ht="12.75" customHeight="1">
      <c r="A606" s="502"/>
      <c r="B606" s="502"/>
    </row>
    <row r="607" spans="1:2" s="495" customFormat="1" ht="12.75" customHeight="1">
      <c r="A607" s="502"/>
      <c r="B607" s="502"/>
    </row>
    <row r="608" spans="1:2" s="495" customFormat="1" ht="12.75" customHeight="1">
      <c r="A608" s="502"/>
      <c r="B608" s="502"/>
    </row>
    <row r="609" spans="1:2" s="495" customFormat="1" ht="12.75" customHeight="1">
      <c r="A609" s="502"/>
      <c r="B609" s="502"/>
    </row>
    <row r="610" spans="1:2" s="495" customFormat="1" ht="12.75" customHeight="1">
      <c r="A610" s="502"/>
      <c r="B610" s="502"/>
    </row>
    <row r="611" spans="1:2" s="495" customFormat="1" ht="12.75" customHeight="1">
      <c r="A611" s="502"/>
      <c r="B611" s="502"/>
    </row>
    <row r="612" spans="1:2" s="495" customFormat="1" ht="12.75" customHeight="1">
      <c r="A612" s="502"/>
      <c r="B612" s="502"/>
    </row>
    <row r="613" spans="1:2" s="495" customFormat="1" ht="12.75" customHeight="1">
      <c r="A613" s="502"/>
      <c r="B613" s="502"/>
    </row>
    <row r="614" spans="1:2" s="495" customFormat="1" ht="12.75" customHeight="1">
      <c r="A614" s="502"/>
      <c r="B614" s="502"/>
    </row>
    <row r="615" spans="1:2" s="495" customFormat="1" ht="12.75" customHeight="1">
      <c r="A615" s="502"/>
      <c r="B615" s="502"/>
    </row>
    <row r="616" spans="1:2" s="495" customFormat="1" ht="12.75" customHeight="1">
      <c r="A616" s="502"/>
      <c r="B616" s="502"/>
    </row>
    <row r="617" spans="1:2" s="495" customFormat="1" ht="12.75" customHeight="1">
      <c r="A617" s="502"/>
      <c r="B617" s="502"/>
    </row>
    <row r="618" spans="1:2" s="495" customFormat="1" ht="12.75" customHeight="1">
      <c r="A618" s="502"/>
      <c r="B618" s="502"/>
    </row>
    <row r="619" spans="1:2" s="495" customFormat="1" ht="12.75" customHeight="1">
      <c r="A619" s="502"/>
      <c r="B619" s="502"/>
    </row>
    <row r="620" spans="1:2" s="495" customFormat="1" ht="12.75" customHeight="1">
      <c r="A620" s="502"/>
      <c r="B620" s="502"/>
    </row>
    <row r="621" spans="1:2" s="495" customFormat="1" ht="12.75" customHeight="1">
      <c r="A621" s="502"/>
      <c r="B621" s="502"/>
    </row>
    <row r="622" spans="1:2" s="495" customFormat="1" ht="12.75" customHeight="1">
      <c r="A622" s="502"/>
      <c r="B622" s="502"/>
    </row>
    <row r="623" spans="1:2" s="495" customFormat="1" ht="12.75" customHeight="1">
      <c r="A623" s="502"/>
      <c r="B623" s="502"/>
    </row>
    <row r="624" spans="1:2" s="495" customFormat="1" ht="12.75" customHeight="1">
      <c r="A624" s="502"/>
      <c r="B624" s="502"/>
    </row>
    <row r="625" spans="1:2" s="495" customFormat="1" ht="12.75" customHeight="1">
      <c r="A625" s="502"/>
      <c r="B625" s="502"/>
    </row>
    <row r="626" spans="1:2" s="495" customFormat="1" ht="12.75" customHeight="1">
      <c r="A626" s="502"/>
      <c r="B626" s="502"/>
    </row>
    <row r="627" spans="1:2" s="495" customFormat="1" ht="12.75" customHeight="1">
      <c r="A627" s="502"/>
      <c r="B627" s="502"/>
    </row>
    <row r="628" spans="1:2" s="495" customFormat="1" ht="12.75" customHeight="1">
      <c r="A628" s="502"/>
      <c r="B628" s="502"/>
    </row>
    <row r="629" spans="1:2" s="495" customFormat="1" ht="12.75" customHeight="1">
      <c r="A629" s="502"/>
      <c r="B629" s="502"/>
    </row>
    <row r="630" spans="1:2" s="495" customFormat="1" ht="12.75" customHeight="1">
      <c r="A630" s="502"/>
      <c r="B630" s="502"/>
    </row>
    <row r="631" spans="1:2" s="495" customFormat="1" ht="12.75" customHeight="1">
      <c r="A631" s="502"/>
      <c r="B631" s="502"/>
    </row>
    <row r="632" spans="1:2" s="495" customFormat="1" ht="12.75" customHeight="1">
      <c r="A632" s="502"/>
      <c r="B632" s="502"/>
    </row>
    <row r="633" spans="1:2" s="495" customFormat="1" ht="12.75" customHeight="1">
      <c r="A633" s="502"/>
      <c r="B633" s="502"/>
    </row>
    <row r="634" spans="1:2" s="495" customFormat="1" ht="12.75" customHeight="1">
      <c r="A634" s="502"/>
      <c r="B634" s="502"/>
    </row>
    <row r="635" spans="1:2" s="495" customFormat="1" ht="12.75" customHeight="1">
      <c r="A635" s="502"/>
      <c r="B635" s="502"/>
    </row>
    <row r="636" spans="1:2" s="495" customFormat="1" ht="12.75" customHeight="1">
      <c r="A636" s="502"/>
      <c r="B636" s="502"/>
    </row>
    <row r="637" spans="1:2" s="495" customFormat="1" ht="12.75" customHeight="1">
      <c r="A637" s="502"/>
      <c r="B637" s="502"/>
    </row>
    <row r="638" spans="1:2" s="495" customFormat="1" ht="12.75" customHeight="1">
      <c r="A638" s="502"/>
      <c r="B638" s="502"/>
    </row>
    <row r="639" spans="1:2" s="495" customFormat="1" ht="12.75" customHeight="1">
      <c r="A639" s="502"/>
      <c r="B639" s="502"/>
    </row>
    <row r="640" spans="1:2" s="495" customFormat="1" ht="12.75" customHeight="1">
      <c r="A640" s="502"/>
      <c r="B640" s="502"/>
    </row>
    <row r="641" spans="1:2" s="495" customFormat="1" ht="12.75" customHeight="1">
      <c r="A641" s="502"/>
      <c r="B641" s="502"/>
    </row>
    <row r="642" spans="1:2" s="495" customFormat="1" ht="12.75" customHeight="1">
      <c r="A642" s="502"/>
      <c r="B642" s="502"/>
    </row>
    <row r="643" spans="1:2" s="495" customFormat="1" ht="12.75" customHeight="1">
      <c r="A643" s="502"/>
      <c r="B643" s="502"/>
    </row>
    <row r="644" spans="1:2" s="495" customFormat="1" ht="12.75" customHeight="1">
      <c r="A644" s="502"/>
      <c r="B644" s="502"/>
    </row>
    <row r="645" spans="1:2" s="495" customFormat="1" ht="12.75" customHeight="1">
      <c r="A645" s="502"/>
      <c r="B645" s="502"/>
    </row>
    <row r="646" spans="1:2" s="495" customFormat="1" ht="12.75" customHeight="1">
      <c r="A646" s="502"/>
      <c r="B646" s="502"/>
    </row>
    <row r="647" spans="1:2" s="495" customFormat="1" ht="12.75" customHeight="1">
      <c r="A647" s="502"/>
      <c r="B647" s="502"/>
    </row>
    <row r="648" spans="1:2" s="495" customFormat="1" ht="12.75" customHeight="1">
      <c r="A648" s="502"/>
      <c r="B648" s="502"/>
    </row>
    <row r="649" spans="1:2" s="495" customFormat="1" ht="12.75" customHeight="1">
      <c r="A649" s="502"/>
      <c r="B649" s="502"/>
    </row>
    <row r="650" spans="1:2" s="495" customFormat="1" ht="12.75" customHeight="1">
      <c r="A650" s="502"/>
      <c r="B650" s="502"/>
    </row>
    <row r="651" spans="1:2" s="495" customFormat="1" ht="12.75" customHeight="1">
      <c r="A651" s="502"/>
      <c r="B651" s="502"/>
    </row>
    <row r="652" spans="1:2" s="495" customFormat="1" ht="12.75" customHeight="1">
      <c r="A652" s="502"/>
      <c r="B652" s="502"/>
    </row>
    <row r="653" spans="1:2" s="495" customFormat="1" ht="12.75" customHeight="1">
      <c r="A653" s="502"/>
      <c r="B653" s="502"/>
    </row>
    <row r="654" spans="1:2" s="495" customFormat="1" ht="12.75" customHeight="1">
      <c r="A654" s="502"/>
      <c r="B654" s="502"/>
    </row>
    <row r="655" spans="1:2" s="495" customFormat="1" ht="12.75" customHeight="1">
      <c r="A655" s="502"/>
      <c r="B655" s="502"/>
    </row>
    <row r="656" spans="1:2" s="495" customFormat="1" ht="12.75" customHeight="1">
      <c r="A656" s="502"/>
      <c r="B656" s="502"/>
    </row>
    <row r="657" spans="1:2" s="495" customFormat="1" ht="12.75" customHeight="1">
      <c r="A657" s="502"/>
      <c r="B657" s="502"/>
    </row>
    <row r="658" spans="1:2" s="495" customFormat="1" ht="12.75" customHeight="1">
      <c r="A658" s="502"/>
      <c r="B658" s="502"/>
    </row>
    <row r="659" spans="1:2" s="495" customFormat="1" ht="12.75" customHeight="1">
      <c r="A659" s="502"/>
      <c r="B659" s="502"/>
    </row>
    <row r="660" spans="1:2" s="495" customFormat="1" ht="12.75" customHeight="1">
      <c r="A660" s="502"/>
      <c r="B660" s="502"/>
    </row>
    <row r="661" spans="1:2" s="495" customFormat="1" ht="12.75" customHeight="1">
      <c r="A661" s="502"/>
      <c r="B661" s="502"/>
    </row>
    <row r="662" spans="1:2" s="495" customFormat="1" ht="12.75" customHeight="1">
      <c r="A662" s="502"/>
      <c r="B662" s="502"/>
    </row>
    <row r="663" spans="1:2" s="495" customFormat="1" ht="12.75" customHeight="1">
      <c r="A663" s="502"/>
      <c r="B663" s="502"/>
    </row>
    <row r="664" spans="1:2" s="495" customFormat="1" ht="12.75" customHeight="1">
      <c r="A664" s="502"/>
      <c r="B664" s="502"/>
    </row>
    <row r="665" spans="1:2" s="495" customFormat="1" ht="12.75" customHeight="1">
      <c r="A665" s="502"/>
      <c r="B665" s="502"/>
    </row>
    <row r="666" spans="1:2" s="495" customFormat="1" ht="12.75" customHeight="1">
      <c r="A666" s="502"/>
      <c r="B666" s="502"/>
    </row>
    <row r="667" spans="1:2" s="495" customFormat="1" ht="12.75" customHeight="1">
      <c r="A667" s="502"/>
      <c r="B667" s="502"/>
    </row>
    <row r="668" spans="1:2" s="495" customFormat="1" ht="12.75" customHeight="1">
      <c r="A668" s="502"/>
      <c r="B668" s="502"/>
    </row>
    <row r="669" spans="1:2" s="495" customFormat="1" ht="12.75" customHeight="1">
      <c r="A669" s="502"/>
      <c r="B669" s="502"/>
    </row>
    <row r="670" spans="1:2" s="495" customFormat="1" ht="12.75" customHeight="1">
      <c r="A670" s="502"/>
      <c r="B670" s="502"/>
    </row>
    <row r="671" spans="1:2" s="495" customFormat="1" ht="12.75" customHeight="1">
      <c r="A671" s="502"/>
      <c r="B671" s="502"/>
    </row>
    <row r="672" spans="1:2" s="495" customFormat="1" ht="12.75" customHeight="1">
      <c r="A672" s="502"/>
      <c r="B672" s="502"/>
    </row>
    <row r="673" spans="1:2" s="495" customFormat="1" ht="12.75" customHeight="1">
      <c r="A673" s="502"/>
      <c r="B673" s="502"/>
    </row>
    <row r="674" spans="1:2" s="495" customFormat="1" ht="12.75" customHeight="1">
      <c r="A674" s="502"/>
      <c r="B674" s="502"/>
    </row>
    <row r="675" spans="1:2" s="495" customFormat="1" ht="12.75" customHeight="1">
      <c r="A675" s="502"/>
      <c r="B675" s="502"/>
    </row>
    <row r="676" spans="1:2" s="495" customFormat="1" ht="12.75" customHeight="1">
      <c r="A676" s="502"/>
      <c r="B676" s="502"/>
    </row>
    <row r="677" spans="1:2" s="495" customFormat="1" ht="12.75" customHeight="1">
      <c r="A677" s="502"/>
      <c r="B677" s="502"/>
    </row>
    <row r="678" spans="1:2" s="495" customFormat="1" ht="12.75" customHeight="1">
      <c r="A678" s="502"/>
      <c r="B678" s="502"/>
    </row>
    <row r="679" spans="1:2" s="495" customFormat="1" ht="12.75" customHeight="1">
      <c r="A679" s="502"/>
      <c r="B679" s="502"/>
    </row>
    <row r="680" spans="1:2" s="495" customFormat="1" ht="12.75" customHeight="1">
      <c r="A680" s="502"/>
      <c r="B680" s="502"/>
    </row>
    <row r="681" spans="1:2" s="495" customFormat="1" ht="12.75" customHeight="1">
      <c r="A681" s="502"/>
      <c r="B681" s="502"/>
    </row>
    <row r="682" spans="1:2" s="495" customFormat="1" ht="12.75" customHeight="1">
      <c r="A682" s="502"/>
      <c r="B682" s="502"/>
    </row>
    <row r="683" spans="1:2" s="495" customFormat="1" ht="12.75" customHeight="1">
      <c r="A683" s="502"/>
      <c r="B683" s="502"/>
    </row>
    <row r="684" spans="1:2" s="495" customFormat="1" ht="12.75" customHeight="1">
      <c r="A684" s="502"/>
      <c r="B684" s="502"/>
    </row>
    <row r="685" spans="1:2" s="495" customFormat="1" ht="12.75" customHeight="1">
      <c r="A685" s="502"/>
      <c r="B685" s="502"/>
    </row>
    <row r="686" spans="1:2" s="495" customFormat="1" ht="12.75" customHeight="1">
      <c r="A686" s="502"/>
      <c r="B686" s="502"/>
    </row>
    <row r="687" spans="1:2" s="495" customFormat="1" ht="12.75" customHeight="1">
      <c r="A687" s="502"/>
      <c r="B687" s="502"/>
    </row>
    <row r="688" spans="1:2" s="495" customFormat="1" ht="12.75" customHeight="1">
      <c r="A688" s="502"/>
      <c r="B688" s="502"/>
    </row>
    <row r="689" spans="1:2" s="495" customFormat="1" ht="12.75" customHeight="1">
      <c r="A689" s="502"/>
      <c r="B689" s="502"/>
    </row>
    <row r="690" spans="1:2" s="495" customFormat="1" ht="12.75" customHeight="1">
      <c r="A690" s="502"/>
      <c r="B690" s="502"/>
    </row>
    <row r="691" spans="1:2" s="495" customFormat="1" ht="12.75" customHeight="1">
      <c r="A691" s="502"/>
      <c r="B691" s="502"/>
    </row>
    <row r="692" spans="1:2" s="495" customFormat="1" ht="12.75" customHeight="1">
      <c r="A692" s="502"/>
      <c r="B692" s="502"/>
    </row>
    <row r="693" spans="1:2" s="495" customFormat="1" ht="12.75" customHeight="1">
      <c r="A693" s="502"/>
      <c r="B693" s="502"/>
    </row>
    <row r="694" spans="1:2" s="495" customFormat="1" ht="12.75" customHeight="1">
      <c r="A694" s="502"/>
      <c r="B694" s="502"/>
    </row>
    <row r="695" spans="1:2" s="495" customFormat="1" ht="12.75" customHeight="1">
      <c r="A695" s="502"/>
      <c r="B695" s="502"/>
    </row>
    <row r="696" spans="1:2" s="495" customFormat="1" ht="12.75" customHeight="1">
      <c r="A696" s="502"/>
      <c r="B696" s="502"/>
    </row>
    <row r="697" spans="1:2" s="495" customFormat="1" ht="12.75" customHeight="1">
      <c r="A697" s="502"/>
      <c r="B697" s="502"/>
    </row>
    <row r="698" spans="1:2" s="495" customFormat="1" ht="12.75" customHeight="1">
      <c r="A698" s="502"/>
      <c r="B698" s="502"/>
    </row>
    <row r="699" spans="1:2" s="495" customFormat="1" ht="12.75" customHeight="1">
      <c r="A699" s="502"/>
      <c r="B699" s="502"/>
    </row>
    <row r="700" spans="1:2" s="495" customFormat="1" ht="12.75" customHeight="1">
      <c r="A700" s="502"/>
      <c r="B700" s="502"/>
    </row>
    <row r="701" spans="1:2" s="495" customFormat="1" ht="12.75" customHeight="1">
      <c r="A701" s="502"/>
      <c r="B701" s="502"/>
    </row>
    <row r="702" spans="1:2" s="495" customFormat="1" ht="12.75" customHeight="1">
      <c r="A702" s="502"/>
      <c r="B702" s="502"/>
    </row>
    <row r="703" spans="1:2" s="495" customFormat="1" ht="12.75" customHeight="1">
      <c r="A703" s="502"/>
      <c r="B703" s="502"/>
    </row>
    <row r="704" spans="1:2" s="495" customFormat="1" ht="12.75" customHeight="1">
      <c r="A704" s="502"/>
      <c r="B704" s="502"/>
    </row>
    <row r="705" spans="1:2" s="495" customFormat="1" ht="12.75" customHeight="1">
      <c r="A705" s="502"/>
      <c r="B705" s="502"/>
    </row>
    <row r="706" spans="1:2" s="495" customFormat="1" ht="12.75" customHeight="1">
      <c r="A706" s="502"/>
      <c r="B706" s="502"/>
    </row>
    <row r="707" spans="1:2" s="495" customFormat="1" ht="12.75" customHeight="1">
      <c r="A707" s="502"/>
      <c r="B707" s="502"/>
    </row>
    <row r="708" spans="1:2" s="495" customFormat="1" ht="12.75" customHeight="1">
      <c r="A708" s="502"/>
      <c r="B708" s="502"/>
    </row>
    <row r="709" spans="1:2" s="495" customFormat="1" ht="12.75" customHeight="1">
      <c r="A709" s="502"/>
      <c r="B709" s="502"/>
    </row>
    <row r="710" spans="1:2" s="495" customFormat="1" ht="12.75" customHeight="1">
      <c r="A710" s="502"/>
      <c r="B710" s="502"/>
    </row>
    <row r="711" spans="1:2" s="495" customFormat="1" ht="12.75" customHeight="1">
      <c r="A711" s="502"/>
      <c r="B711" s="502"/>
    </row>
    <row r="712" spans="1:2" s="495" customFormat="1" ht="12.75" customHeight="1">
      <c r="A712" s="502"/>
      <c r="B712" s="502"/>
    </row>
    <row r="713" spans="1:2" s="495" customFormat="1" ht="12.75" customHeight="1">
      <c r="A713" s="502"/>
      <c r="B713" s="502"/>
    </row>
    <row r="714" spans="1:2" s="495" customFormat="1" ht="12.75" customHeight="1">
      <c r="A714" s="502"/>
      <c r="B714" s="502"/>
    </row>
    <row r="715" spans="1:2" s="495" customFormat="1" ht="12.75" customHeight="1">
      <c r="A715" s="502"/>
      <c r="B715" s="502"/>
    </row>
    <row r="716" spans="1:2" s="495" customFormat="1" ht="12.75" customHeight="1">
      <c r="A716" s="502"/>
      <c r="B716" s="502"/>
    </row>
    <row r="717" spans="1:2" s="495" customFormat="1" ht="12.75" customHeight="1">
      <c r="A717" s="502"/>
      <c r="B717" s="502"/>
    </row>
    <row r="718" spans="1:2" s="495" customFormat="1" ht="12.75" customHeight="1">
      <c r="A718" s="502"/>
      <c r="B718" s="502"/>
    </row>
    <row r="719" spans="1:2" s="495" customFormat="1" ht="12.75" customHeight="1">
      <c r="A719" s="502"/>
      <c r="B719" s="502"/>
    </row>
    <row r="720" spans="1:2" s="495" customFormat="1" ht="12.75" customHeight="1">
      <c r="A720" s="502"/>
      <c r="B720" s="502"/>
    </row>
    <row r="721" spans="1:2" s="495" customFormat="1" ht="12.75" customHeight="1">
      <c r="A721" s="502"/>
      <c r="B721" s="502"/>
    </row>
    <row r="722" spans="1:2" s="495" customFormat="1" ht="12.75" customHeight="1">
      <c r="A722" s="502"/>
      <c r="B722" s="502"/>
    </row>
    <row r="723" spans="1:2" s="495" customFormat="1" ht="12.75" customHeight="1">
      <c r="A723" s="502"/>
      <c r="B723" s="502"/>
    </row>
    <row r="724" spans="1:2" s="495" customFormat="1" ht="12.75" customHeight="1">
      <c r="A724" s="502"/>
      <c r="B724" s="502"/>
    </row>
    <row r="725" spans="1:2" s="495" customFormat="1" ht="12.75" customHeight="1">
      <c r="A725" s="502"/>
      <c r="B725" s="502"/>
    </row>
    <row r="726" spans="1:2" s="495" customFormat="1" ht="12.75" customHeight="1">
      <c r="A726" s="502"/>
      <c r="B726" s="502"/>
    </row>
    <row r="727" spans="1:2" s="495" customFormat="1" ht="12.75" customHeight="1">
      <c r="A727" s="502"/>
      <c r="B727" s="502"/>
    </row>
    <row r="728" spans="1:2" s="495" customFormat="1" ht="12.75" customHeight="1">
      <c r="A728" s="502"/>
      <c r="B728" s="502"/>
    </row>
    <row r="729" spans="1:2" s="495" customFormat="1" ht="12.75" customHeight="1">
      <c r="A729" s="502"/>
      <c r="B729" s="502"/>
    </row>
    <row r="730" spans="1:2" s="495" customFormat="1" ht="12.75" customHeight="1">
      <c r="A730" s="502"/>
      <c r="B730" s="502"/>
    </row>
    <row r="731" spans="1:2" s="495" customFormat="1" ht="12.75" customHeight="1">
      <c r="A731" s="502"/>
      <c r="B731" s="502"/>
    </row>
    <row r="732" spans="1:2" s="495" customFormat="1" ht="12.75" customHeight="1">
      <c r="A732" s="502"/>
      <c r="B732" s="502"/>
    </row>
    <row r="733" spans="1:2" s="495" customFormat="1" ht="12.75" customHeight="1">
      <c r="A733" s="502"/>
      <c r="B733" s="502"/>
    </row>
    <row r="734" spans="1:2" s="495" customFormat="1" ht="12.75" customHeight="1">
      <c r="A734" s="502"/>
      <c r="B734" s="502"/>
    </row>
    <row r="735" spans="1:2" s="495" customFormat="1" ht="12.75" customHeight="1">
      <c r="A735" s="502"/>
      <c r="B735" s="502"/>
    </row>
    <row r="736" spans="1:2" s="495" customFormat="1" ht="12.75" customHeight="1">
      <c r="A736" s="502"/>
      <c r="B736" s="502"/>
    </row>
    <row r="737" spans="1:2" s="495" customFormat="1" ht="12.75" customHeight="1">
      <c r="A737" s="502"/>
      <c r="B737" s="502"/>
    </row>
    <row r="738" spans="1:2" s="495" customFormat="1" ht="12.75" customHeight="1">
      <c r="A738" s="502"/>
      <c r="B738" s="502"/>
    </row>
    <row r="739" spans="1:2" s="495" customFormat="1" ht="12.75" customHeight="1">
      <c r="A739" s="502"/>
      <c r="B739" s="502"/>
    </row>
  </sheetData>
  <mergeCells count="2">
    <mergeCell ref="A1:B1"/>
    <mergeCell ref="A2:C2"/>
  </mergeCells>
  <printOptions/>
  <pageMargins left="0.7874015748031497" right="0.1968503937007874" top="0.4330708661417323" bottom="0.5118110236220472" header="0.2362204724409449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Admin</cp:lastModifiedBy>
  <cp:lastPrinted>2008-12-23T12:31:21Z</cp:lastPrinted>
  <dcterms:created xsi:type="dcterms:W3CDTF">2002-11-03T06:23:27Z</dcterms:created>
  <dcterms:modified xsi:type="dcterms:W3CDTF">2009-01-10T14:30:58Z</dcterms:modified>
  <cp:category/>
  <cp:version/>
  <cp:contentType/>
  <cp:contentStatus/>
</cp:coreProperties>
</file>